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lciborowski_act-ct\Desktop\"/>
    </mc:Choice>
  </mc:AlternateContent>
  <xr:revisionPtr revIDLastSave="0" documentId="8_{B64A6C80-78D1-4BF3-B242-1F8AD23E9F14}" xr6:coauthVersionLast="36" xr6:coauthVersionMax="36" xr10:uidLastSave="{00000000-0000-0000-0000-000000000000}"/>
  <bookViews>
    <workbookView xWindow="0" yWindow="0" windowWidth="14380" windowHeight="3490" tabRatio="737" xr2:uid="{00000000-000D-0000-FFFF-FFFF00000000}"/>
  </bookViews>
  <sheets>
    <sheet name="Instructions" sheetId="7" r:id="rId1"/>
    <sheet name="Eligibility" sheetId="1" r:id="rId2"/>
    <sheet name="EligReCert" sheetId="3" r:id="rId3"/>
    <sheet name="Med Expenses" sheetId="4" state="hidden" r:id="rId4"/>
    <sheet name="ZIncome" sheetId="9" r:id="rId5"/>
    <sheet name="Cap" sheetId="6" r:id="rId6"/>
    <sheet name="Charges" sheetId="5" r:id="rId7"/>
    <sheet name="Sheet1" sheetId="8" state="hidden" r:id="rId8"/>
    <sheet name="AddCharges" sheetId="10" state="hidden" r:id="rId9"/>
  </sheets>
  <definedNames>
    <definedName name="_xlnm.Print_Area" localSheetId="5">Cap!$A$1:$J$44</definedName>
    <definedName name="_xlnm.Print_Area" localSheetId="6">Charges!$A$1:$K$49</definedName>
    <definedName name="_xlnm.Print_Area" localSheetId="3">'Med Expenses'!$A$1:$J$48</definedName>
  </definedNames>
  <calcPr calcId="191029"/>
</workbook>
</file>

<file path=xl/calcChain.xml><?xml version="1.0" encoding="utf-8"?>
<calcChain xmlns="http://schemas.openxmlformats.org/spreadsheetml/2006/main">
  <c r="A72" i="3" l="1"/>
  <c r="B68" i="3"/>
  <c r="D60" i="3"/>
  <c r="F60" i="3" s="1"/>
  <c r="O47" i="1"/>
  <c r="R44" i="1"/>
  <c r="O44" i="1"/>
  <c r="S1" i="1"/>
  <c r="I1" i="4" s="1"/>
  <c r="K13" i="5"/>
  <c r="J13" i="5"/>
  <c r="I13" i="5"/>
  <c r="H13" i="5"/>
  <c r="G13" i="5"/>
  <c r="F13" i="5"/>
  <c r="E13" i="5"/>
  <c r="A43" i="6"/>
  <c r="J1" i="10"/>
  <c r="O1" i="3"/>
  <c r="G1" i="6"/>
  <c r="H1" i="3"/>
  <c r="A1" i="6"/>
  <c r="A1" i="3"/>
  <c r="H1" i="5"/>
  <c r="G1" i="5"/>
  <c r="D1" i="5"/>
  <c r="A1" i="5"/>
  <c r="D1" i="6"/>
  <c r="S1" i="3"/>
  <c r="I1" i="6"/>
  <c r="J1" i="5"/>
  <c r="A44" i="1"/>
  <c r="E8" i="10"/>
  <c r="S55" i="3"/>
  <c r="P55" i="3"/>
  <c r="M55" i="3"/>
  <c r="I55" i="3"/>
  <c r="F55" i="3"/>
  <c r="B55" i="3"/>
  <c r="U75" i="3"/>
  <c r="V69" i="3"/>
  <c r="U69" i="3"/>
  <c r="W69" i="3" s="1"/>
  <c r="T69" i="3"/>
  <c r="S69" i="3"/>
  <c r="R69" i="3"/>
  <c r="Q69" i="3"/>
  <c r="P69" i="3"/>
  <c r="O69" i="3"/>
  <c r="N69" i="3"/>
  <c r="M69" i="3"/>
  <c r="K69" i="3"/>
  <c r="J69" i="3"/>
  <c r="I69" i="3"/>
  <c r="H69" i="3"/>
  <c r="G69" i="3"/>
  <c r="F69" i="3"/>
  <c r="D69" i="3"/>
  <c r="AL10" i="3" s="1"/>
  <c r="C69" i="3"/>
  <c r="B69" i="3"/>
  <c r="A69" i="3"/>
  <c r="D61" i="3"/>
  <c r="R61" i="3" s="1"/>
  <c r="F61" i="3"/>
  <c r="U60" i="3"/>
  <c r="W60" i="3" s="1"/>
  <c r="O60" i="3"/>
  <c r="P60" i="3" s="1"/>
  <c r="K60" i="3"/>
  <c r="M60" i="3"/>
  <c r="H60" i="3"/>
  <c r="I60" i="3" s="1"/>
  <c r="I48" i="3"/>
  <c r="I46" i="3"/>
  <c r="U40" i="3"/>
  <c r="O40" i="3"/>
  <c r="S22" i="3"/>
  <c r="P22" i="3"/>
  <c r="M22" i="3"/>
  <c r="I22" i="3"/>
  <c r="B22" i="3"/>
  <c r="F22" i="3"/>
  <c r="A3" i="10"/>
  <c r="B24" i="3"/>
  <c r="B46" i="3"/>
  <c r="B48" i="3"/>
  <c r="O42" i="6"/>
  <c r="O41" i="6"/>
  <c r="O40" i="6"/>
  <c r="O39" i="6"/>
  <c r="O38" i="6"/>
  <c r="O37" i="6"/>
  <c r="O36" i="6"/>
  <c r="O35" i="6"/>
  <c r="O34" i="6"/>
  <c r="O33" i="6"/>
  <c r="O32" i="6"/>
  <c r="O31" i="6"/>
  <c r="O30" i="6"/>
  <c r="O29" i="6"/>
  <c r="O28" i="6"/>
  <c r="O27" i="6"/>
  <c r="O26" i="6"/>
  <c r="O25" i="6"/>
  <c r="O24" i="6"/>
  <c r="O23" i="6"/>
  <c r="O22" i="6"/>
  <c r="O21" i="6"/>
  <c r="O20" i="6"/>
  <c r="A5" i="10"/>
  <c r="G34" i="10"/>
  <c r="G33" i="10"/>
  <c r="G32" i="10"/>
  <c r="G31" i="10"/>
  <c r="G30" i="10"/>
  <c r="G29" i="10"/>
  <c r="G28" i="10"/>
  <c r="G27" i="10"/>
  <c r="G26" i="10"/>
  <c r="G25" i="10"/>
  <c r="G24" i="10"/>
  <c r="G23" i="10"/>
  <c r="G22" i="10"/>
  <c r="G21" i="10"/>
  <c r="G20" i="10"/>
  <c r="G19" i="10"/>
  <c r="G18" i="10"/>
  <c r="G17" i="10"/>
  <c r="G16" i="10"/>
  <c r="G13" i="10"/>
  <c r="B42" i="10"/>
  <c r="G36" i="10"/>
  <c r="K19" i="10"/>
  <c r="J19" i="10"/>
  <c r="J34" i="10"/>
  <c r="J33" i="10"/>
  <c r="J32" i="10"/>
  <c r="J31" i="10"/>
  <c r="J30" i="10"/>
  <c r="J29" i="10"/>
  <c r="J28" i="10"/>
  <c r="J27" i="10"/>
  <c r="J26" i="10"/>
  <c r="J25" i="10"/>
  <c r="J24" i="10"/>
  <c r="J23" i="10"/>
  <c r="J22" i="10"/>
  <c r="J21" i="10"/>
  <c r="J20" i="10"/>
  <c r="J18" i="10"/>
  <c r="J17" i="10"/>
  <c r="J16" i="10"/>
  <c r="I34" i="10"/>
  <c r="H34" i="10"/>
  <c r="F34" i="10"/>
  <c r="E34" i="10"/>
  <c r="I33" i="10"/>
  <c r="H33" i="10"/>
  <c r="F33" i="10"/>
  <c r="E33" i="10"/>
  <c r="I32" i="10"/>
  <c r="H32" i="10"/>
  <c r="F32" i="10"/>
  <c r="E32" i="10"/>
  <c r="I31" i="10"/>
  <c r="H31" i="10"/>
  <c r="F31" i="10"/>
  <c r="E31" i="10"/>
  <c r="I30" i="10"/>
  <c r="H30" i="10"/>
  <c r="F30" i="10"/>
  <c r="E30" i="10"/>
  <c r="I29" i="10"/>
  <c r="H29" i="10"/>
  <c r="F29" i="10"/>
  <c r="E29" i="10"/>
  <c r="I28" i="10"/>
  <c r="H28" i="10"/>
  <c r="F28" i="10"/>
  <c r="E28" i="10"/>
  <c r="I27" i="10"/>
  <c r="H27" i="10"/>
  <c r="F27" i="10"/>
  <c r="E27" i="10"/>
  <c r="I26" i="10"/>
  <c r="H26" i="10"/>
  <c r="F26" i="10"/>
  <c r="E26" i="10"/>
  <c r="I25" i="10"/>
  <c r="H25" i="10"/>
  <c r="F25" i="10"/>
  <c r="E25" i="10"/>
  <c r="I24" i="10"/>
  <c r="H24" i="10"/>
  <c r="F24" i="10"/>
  <c r="E24" i="10"/>
  <c r="I23" i="10"/>
  <c r="H23" i="10"/>
  <c r="F23" i="10"/>
  <c r="E23" i="10"/>
  <c r="I22" i="10"/>
  <c r="H22" i="10"/>
  <c r="F22" i="10"/>
  <c r="E22" i="10"/>
  <c r="I21" i="10"/>
  <c r="H21" i="10"/>
  <c r="F21" i="10"/>
  <c r="E21" i="10"/>
  <c r="I20" i="10"/>
  <c r="H20" i="10"/>
  <c r="F20" i="10"/>
  <c r="E20" i="10"/>
  <c r="I19" i="10"/>
  <c r="H19" i="10"/>
  <c r="F19" i="10"/>
  <c r="E19" i="10"/>
  <c r="I18" i="10"/>
  <c r="H18" i="10"/>
  <c r="F18" i="10"/>
  <c r="E18" i="10"/>
  <c r="I17" i="10"/>
  <c r="H17" i="10"/>
  <c r="F17" i="10"/>
  <c r="E17" i="10"/>
  <c r="I16" i="10"/>
  <c r="H16" i="10"/>
  <c r="F16" i="10"/>
  <c r="E16" i="10"/>
  <c r="E13" i="10"/>
  <c r="J13" i="10"/>
  <c r="J36" i="10"/>
  <c r="I13" i="10"/>
  <c r="I36" i="10"/>
  <c r="H13" i="10"/>
  <c r="H36" i="10"/>
  <c r="F13" i="10"/>
  <c r="F36" i="10"/>
  <c r="J49" i="10"/>
  <c r="K34" i="10"/>
  <c r="K33" i="10"/>
  <c r="K32" i="10"/>
  <c r="K31" i="10"/>
  <c r="K30" i="10"/>
  <c r="K29" i="10"/>
  <c r="K28" i="10"/>
  <c r="K27" i="10"/>
  <c r="K26" i="10"/>
  <c r="K25" i="10"/>
  <c r="K24" i="10"/>
  <c r="K23" i="10"/>
  <c r="K22" i="10"/>
  <c r="K21" i="10"/>
  <c r="K20" i="10"/>
  <c r="K18" i="10"/>
  <c r="K17" i="10"/>
  <c r="K16" i="10"/>
  <c r="K13" i="10"/>
  <c r="J8" i="10"/>
  <c r="I8" i="10"/>
  <c r="H8" i="10"/>
  <c r="G8" i="10"/>
  <c r="F8" i="10"/>
  <c r="E36" i="10"/>
  <c r="K36" i="10"/>
  <c r="N37" i="6"/>
  <c r="N36" i="6"/>
  <c r="N35" i="6"/>
  <c r="N34" i="6"/>
  <c r="A38" i="10"/>
  <c r="A4" i="10"/>
  <c r="H67" i="1"/>
  <c r="I67" i="1" s="1"/>
  <c r="N42" i="6"/>
  <c r="N41" i="6"/>
  <c r="N40" i="6"/>
  <c r="N39" i="6"/>
  <c r="N38" i="6"/>
  <c r="N33" i="6"/>
  <c r="N32" i="6"/>
  <c r="N31" i="6"/>
  <c r="N30" i="6"/>
  <c r="N29" i="6"/>
  <c r="N28" i="6"/>
  <c r="N27" i="6"/>
  <c r="N26" i="6"/>
  <c r="N25" i="6"/>
  <c r="N24" i="6"/>
  <c r="N23" i="6"/>
  <c r="N22" i="6"/>
  <c r="A76" i="1"/>
  <c r="J7" i="5"/>
  <c r="I7" i="5"/>
  <c r="H7" i="5"/>
  <c r="G7" i="5"/>
  <c r="F7" i="5"/>
  <c r="E7" i="5"/>
  <c r="M24" i="3"/>
  <c r="I53" i="1"/>
  <c r="B26" i="1"/>
  <c r="B53" i="1"/>
  <c r="B13" i="6"/>
  <c r="G4" i="8"/>
  <c r="H4" i="8"/>
  <c r="G5" i="8"/>
  <c r="H5" i="8"/>
  <c r="G6" i="6"/>
  <c r="O19" i="6"/>
  <c r="J44" i="6"/>
  <c r="J48" i="5"/>
  <c r="D7" i="4"/>
  <c r="M12" i="4"/>
  <c r="L13" i="4"/>
  <c r="M13" i="4"/>
  <c r="L14" i="4"/>
  <c r="M14" i="4"/>
  <c r="L15" i="4"/>
  <c r="M15" i="4"/>
  <c r="L16" i="4"/>
  <c r="M16" i="4"/>
  <c r="L17" i="4"/>
  <c r="M17" i="4"/>
  <c r="L18" i="4"/>
  <c r="M18" i="4"/>
  <c r="L19" i="4"/>
  <c r="M19" i="4"/>
  <c r="L20" i="4"/>
  <c r="M20" i="4"/>
  <c r="L21" i="4"/>
  <c r="M21" i="4"/>
  <c r="L22" i="4"/>
  <c r="M22" i="4"/>
  <c r="L23" i="4"/>
  <c r="M23" i="4"/>
  <c r="L24" i="4"/>
  <c r="M24" i="4"/>
  <c r="L25" i="4"/>
  <c r="M25" i="4"/>
  <c r="L26" i="4"/>
  <c r="M26" i="4"/>
  <c r="L27" i="4"/>
  <c r="M27" i="4"/>
  <c r="L28" i="4"/>
  <c r="M28" i="4"/>
  <c r="L29" i="4"/>
  <c r="M29" i="4"/>
  <c r="L30" i="4"/>
  <c r="M30" i="4"/>
  <c r="L31" i="4"/>
  <c r="M31" i="4"/>
  <c r="L32" i="4"/>
  <c r="M32" i="4"/>
  <c r="L33" i="4"/>
  <c r="M33" i="4"/>
  <c r="L34" i="4"/>
  <c r="M34" i="4"/>
  <c r="L35" i="4"/>
  <c r="M35" i="4"/>
  <c r="L36" i="4"/>
  <c r="M36" i="4"/>
  <c r="L37" i="4"/>
  <c r="M37" i="4"/>
  <c r="L38" i="4"/>
  <c r="M38" i="4"/>
  <c r="L39" i="4"/>
  <c r="M39" i="4"/>
  <c r="L40" i="4"/>
  <c r="M40" i="4"/>
  <c r="L41" i="4"/>
  <c r="M41" i="4"/>
  <c r="L42" i="4"/>
  <c r="M42" i="4"/>
  <c r="L43" i="4"/>
  <c r="M43" i="4"/>
  <c r="L44" i="4"/>
  <c r="M44" i="4"/>
  <c r="L45" i="4"/>
  <c r="M45" i="4"/>
  <c r="I48" i="4"/>
  <c r="F26" i="1"/>
  <c r="I26" i="1"/>
  <c r="M26" i="1"/>
  <c r="P26" i="1"/>
  <c r="S26" i="1"/>
  <c r="H44" i="1"/>
  <c r="U44" i="1"/>
  <c r="I55" i="1"/>
  <c r="F67" i="1"/>
  <c r="K67" i="1"/>
  <c r="M67" i="1" s="1"/>
  <c r="O67" i="1"/>
  <c r="P67" i="1" s="1"/>
  <c r="R67" i="1"/>
  <c r="S67" i="1" s="1"/>
  <c r="U67" i="1"/>
  <c r="W67" i="1" s="1"/>
  <c r="B76" i="1"/>
  <c r="C76" i="1"/>
  <c r="G76" i="1"/>
  <c r="J76" i="1"/>
  <c r="N76" i="1"/>
  <c r="Q76" i="1"/>
  <c r="T76" i="1"/>
  <c r="V76" i="1"/>
  <c r="U81" i="1"/>
  <c r="M5" i="8"/>
  <c r="N5" i="8"/>
  <c r="S4" i="8"/>
  <c r="T4" i="8"/>
  <c r="G12" i="8"/>
  <c r="G6" i="8"/>
  <c r="P6" i="8"/>
  <c r="Q6" i="8"/>
  <c r="S5" i="8"/>
  <c r="T5" i="8"/>
  <c r="V5" i="8"/>
  <c r="W5" i="8"/>
  <c r="J5" i="8"/>
  <c r="K5" i="8"/>
  <c r="P4" i="8"/>
  <c r="Q4" i="8"/>
  <c r="M4" i="8"/>
  <c r="N4" i="8"/>
  <c r="P5" i="8"/>
  <c r="Q5" i="8"/>
  <c r="V4" i="8"/>
  <c r="W4" i="8"/>
  <c r="J4" i="8"/>
  <c r="K4" i="8"/>
  <c r="N20" i="6"/>
  <c r="N21" i="6"/>
  <c r="N19" i="6"/>
  <c r="B28" i="1"/>
  <c r="L12" i="4"/>
  <c r="V6" i="8"/>
  <c r="W6" i="8"/>
  <c r="V12" i="8"/>
  <c r="M6" i="8"/>
  <c r="N6" i="8"/>
  <c r="S12" i="8"/>
  <c r="P12" i="8"/>
  <c r="H6" i="8"/>
  <c r="S6" i="8"/>
  <c r="T6" i="8"/>
  <c r="J12" i="8"/>
  <c r="J6" i="8"/>
  <c r="K6" i="8"/>
  <c r="G7" i="8"/>
  <c r="J7" i="8"/>
  <c r="K7" i="8"/>
  <c r="W12" i="8"/>
  <c r="M12" i="8"/>
  <c r="A10" i="6"/>
  <c r="A11" i="6"/>
  <c r="I43" i="6"/>
  <c r="B15" i="6"/>
  <c r="I46" i="4"/>
  <c r="B55" i="1"/>
  <c r="A9" i="4"/>
  <c r="A10" i="4"/>
  <c r="M7" i="8"/>
  <c r="N7" i="8"/>
  <c r="S7" i="8"/>
  <c r="T7" i="8"/>
  <c r="G8" i="8"/>
  <c r="J8" i="8"/>
  <c r="K8" i="8"/>
  <c r="P7" i="8"/>
  <c r="Q7" i="8"/>
  <c r="V7" i="8"/>
  <c r="W7" i="8"/>
  <c r="H7" i="8"/>
  <c r="G9" i="8"/>
  <c r="D68" i="1"/>
  <c r="H68" i="1" s="1"/>
  <c r="H8" i="8"/>
  <c r="M8" i="8"/>
  <c r="N8" i="8"/>
  <c r="S8" i="8"/>
  <c r="T8" i="8"/>
  <c r="V8" i="8"/>
  <c r="W8" i="8"/>
  <c r="P8" i="8"/>
  <c r="Q8" i="8"/>
  <c r="H9" i="8"/>
  <c r="P9" i="8"/>
  <c r="Q9" i="8"/>
  <c r="S9" i="8"/>
  <c r="T9" i="8"/>
  <c r="J9" i="8"/>
  <c r="K9" i="8"/>
  <c r="V9" i="8"/>
  <c r="W9" i="8"/>
  <c r="M9" i="8"/>
  <c r="N9" i="8"/>
  <c r="G10" i="8"/>
  <c r="H10" i="8"/>
  <c r="J10" i="8"/>
  <c r="K10" i="8"/>
  <c r="V10" i="8"/>
  <c r="W10" i="8"/>
  <c r="M10" i="8"/>
  <c r="N10" i="8"/>
  <c r="G11" i="8"/>
  <c r="P10" i="8"/>
  <c r="Q10" i="8"/>
  <c r="S10" i="8"/>
  <c r="T10" i="8"/>
  <c r="H11" i="8"/>
  <c r="P11" i="8"/>
  <c r="Q11" i="8"/>
  <c r="S11" i="8"/>
  <c r="T11" i="8"/>
  <c r="J11" i="8"/>
  <c r="K11" i="8"/>
  <c r="V11" i="8"/>
  <c r="W11" i="8"/>
  <c r="M11" i="8"/>
  <c r="N11" i="8"/>
  <c r="D76" i="1"/>
  <c r="F76" i="1"/>
  <c r="H76" i="1"/>
  <c r="I76" i="1"/>
  <c r="O76" i="1"/>
  <c r="P76" i="1"/>
  <c r="U76" i="1"/>
  <c r="W76" i="1" s="1"/>
  <c r="K76" i="1"/>
  <c r="M76" i="1"/>
  <c r="R76" i="1"/>
  <c r="S76" i="1"/>
  <c r="M28" i="1"/>
  <c r="A36" i="5" s="1"/>
  <c r="H5" i="5"/>
  <c r="G10" i="6"/>
  <c r="I15" i="6"/>
  <c r="J18" i="5"/>
  <c r="K18" i="5"/>
  <c r="K32" i="5"/>
  <c r="E32" i="5"/>
  <c r="J32" i="5"/>
  <c r="E18" i="5"/>
  <c r="I32" i="5"/>
  <c r="H32" i="5"/>
  <c r="H18" i="5"/>
  <c r="I18" i="5"/>
  <c r="G32" i="5"/>
  <c r="F32" i="5"/>
  <c r="F18" i="5"/>
  <c r="G18" i="5"/>
  <c r="E33" i="5"/>
  <c r="J33" i="5"/>
  <c r="J30" i="5"/>
  <c r="J28" i="5"/>
  <c r="J26" i="5"/>
  <c r="J24" i="5"/>
  <c r="J22" i="5"/>
  <c r="J20" i="5"/>
  <c r="J16" i="5"/>
  <c r="J14" i="5"/>
  <c r="J17" i="5"/>
  <c r="K16" i="5"/>
  <c r="K14" i="5"/>
  <c r="K33" i="5"/>
  <c r="K30" i="5"/>
  <c r="K28" i="5"/>
  <c r="K26" i="5"/>
  <c r="K24" i="5"/>
  <c r="K22" i="5"/>
  <c r="K20" i="5"/>
  <c r="J31" i="5"/>
  <c r="J29" i="5"/>
  <c r="J27" i="5"/>
  <c r="J25" i="5"/>
  <c r="J23" i="5"/>
  <c r="J21" i="5"/>
  <c r="J19" i="5"/>
  <c r="J15" i="5"/>
  <c r="J12" i="5"/>
  <c r="K17" i="5"/>
  <c r="K15" i="5"/>
  <c r="K12" i="5"/>
  <c r="K31" i="5"/>
  <c r="K29" i="5"/>
  <c r="K27" i="5"/>
  <c r="K25" i="5"/>
  <c r="K23" i="5"/>
  <c r="K21" i="5"/>
  <c r="K19" i="5"/>
  <c r="E30" i="5"/>
  <c r="E28" i="5"/>
  <c r="E26" i="5"/>
  <c r="E24" i="5"/>
  <c r="E22" i="5"/>
  <c r="E20" i="5"/>
  <c r="E17" i="5"/>
  <c r="E15" i="5"/>
  <c r="E31" i="5"/>
  <c r="E29" i="5"/>
  <c r="E27" i="5"/>
  <c r="E25" i="5"/>
  <c r="E23" i="5"/>
  <c r="E21" i="5"/>
  <c r="E19" i="5"/>
  <c r="E16" i="5"/>
  <c r="E14" i="5"/>
  <c r="I12" i="5"/>
  <c r="I31" i="5"/>
  <c r="I29" i="5"/>
  <c r="I27" i="5"/>
  <c r="I25" i="5"/>
  <c r="I23" i="5"/>
  <c r="I21" i="5"/>
  <c r="I19" i="5"/>
  <c r="I16" i="5"/>
  <c r="I14" i="5"/>
  <c r="I33" i="5"/>
  <c r="I30" i="5"/>
  <c r="I28" i="5"/>
  <c r="I26" i="5"/>
  <c r="I24" i="5"/>
  <c r="I22" i="5"/>
  <c r="I20" i="5"/>
  <c r="I17" i="5"/>
  <c r="I15" i="5"/>
  <c r="H33" i="5"/>
  <c r="H30" i="5"/>
  <c r="H28" i="5"/>
  <c r="H26" i="5"/>
  <c r="H24" i="5"/>
  <c r="H22" i="5"/>
  <c r="H20" i="5"/>
  <c r="H17" i="5"/>
  <c r="H15" i="5"/>
  <c r="H12" i="5"/>
  <c r="H31" i="5"/>
  <c r="H29" i="5"/>
  <c r="H27" i="5"/>
  <c r="H25" i="5"/>
  <c r="H23" i="5"/>
  <c r="H21" i="5"/>
  <c r="H19" i="5"/>
  <c r="H16" i="5"/>
  <c r="H14" i="5"/>
  <c r="G12" i="5"/>
  <c r="G33" i="5"/>
  <c r="G31" i="5"/>
  <c r="G29" i="5"/>
  <c r="G27" i="5"/>
  <c r="G25" i="5"/>
  <c r="G23" i="5"/>
  <c r="G21" i="5"/>
  <c r="G19" i="5"/>
  <c r="G16" i="5"/>
  <c r="G14" i="5"/>
  <c r="G30" i="5"/>
  <c r="G28" i="5"/>
  <c r="G26" i="5"/>
  <c r="G24" i="5"/>
  <c r="G22" i="5"/>
  <c r="G20" i="5"/>
  <c r="G17" i="5"/>
  <c r="G15" i="5"/>
  <c r="E12" i="5"/>
  <c r="F33" i="5"/>
  <c r="F30" i="5"/>
  <c r="F28" i="5"/>
  <c r="F26" i="5"/>
  <c r="F24" i="5"/>
  <c r="F22" i="5"/>
  <c r="F20" i="5"/>
  <c r="F17" i="5"/>
  <c r="F15" i="5"/>
  <c r="F12" i="5"/>
  <c r="F31" i="5"/>
  <c r="F29" i="5"/>
  <c r="F27" i="5"/>
  <c r="F25" i="5"/>
  <c r="F23" i="5"/>
  <c r="F21" i="5"/>
  <c r="F19" i="5"/>
  <c r="F16" i="5"/>
  <c r="F14" i="5"/>
  <c r="H40" i="3"/>
  <c r="E1" i="4"/>
  <c r="A3" i="4"/>
  <c r="A40" i="3"/>
  <c r="A1" i="4"/>
  <c r="B41" i="5"/>
  <c r="R68" i="1" l="1"/>
  <c r="P75" i="1" s="1"/>
  <c r="AL14" i="1"/>
  <c r="AM2" i="1"/>
  <c r="D62" i="3"/>
  <c r="H62" i="3" s="1"/>
  <c r="I62" i="3" s="1"/>
  <c r="O68" i="1"/>
  <c r="U68" i="1"/>
  <c r="F68" i="1"/>
  <c r="AM14" i="1"/>
  <c r="K68" i="1"/>
  <c r="M68" i="1" s="1"/>
  <c r="D69" i="1"/>
  <c r="R69" i="1" s="1"/>
  <c r="S69" i="1" s="1"/>
  <c r="AM10" i="3"/>
  <c r="I68" i="1"/>
  <c r="F75" i="1"/>
  <c r="S61" i="3"/>
  <c r="R60" i="3"/>
  <c r="P68" i="3" s="1"/>
  <c r="O61" i="3"/>
  <c r="AL2" i="1"/>
  <c r="K61" i="3"/>
  <c r="H61" i="3"/>
  <c r="U61" i="3"/>
  <c r="K69" i="1" l="1"/>
  <c r="M69" i="1" s="1"/>
  <c r="S68" i="1"/>
  <c r="U62" i="3"/>
  <c r="W62" i="3" s="1"/>
  <c r="H69" i="1"/>
  <c r="D70" i="1"/>
  <c r="F70" i="1" s="1"/>
  <c r="S75" i="1"/>
  <c r="V75" i="1" s="1"/>
  <c r="W68" i="1"/>
  <c r="O62" i="3"/>
  <c r="P62" i="3" s="1"/>
  <c r="K62" i="3"/>
  <c r="M62" i="3" s="1"/>
  <c r="F62" i="3"/>
  <c r="D63" i="3"/>
  <c r="R62" i="3"/>
  <c r="S62" i="3" s="1"/>
  <c r="AL7" i="1"/>
  <c r="P68" i="1"/>
  <c r="M75" i="1"/>
  <c r="AM7" i="1"/>
  <c r="AL3" i="3"/>
  <c r="I75" i="1"/>
  <c r="O69" i="1"/>
  <c r="P69" i="1" s="1"/>
  <c r="U69" i="1"/>
  <c r="W69" i="1" s="1"/>
  <c r="F69" i="1"/>
  <c r="M68" i="3"/>
  <c r="P61" i="3"/>
  <c r="D71" i="1"/>
  <c r="U70" i="1"/>
  <c r="W70" i="1" s="1"/>
  <c r="O70" i="1"/>
  <c r="P70" i="1" s="1"/>
  <c r="K70" i="1"/>
  <c r="M70" i="1" s="1"/>
  <c r="H70" i="1"/>
  <c r="I70" i="1" s="1"/>
  <c r="AL2" i="3"/>
  <c r="AM2" i="3"/>
  <c r="S60" i="3"/>
  <c r="AM8" i="1"/>
  <c r="I68" i="3"/>
  <c r="M61" i="3"/>
  <c r="I69" i="1"/>
  <c r="W61" i="3"/>
  <c r="S68" i="3"/>
  <c r="V68" i="3" s="1"/>
  <c r="I61" i="3"/>
  <c r="F68" i="3"/>
  <c r="AM3" i="3"/>
  <c r="R70" i="1" l="1"/>
  <c r="S70" i="1" s="1"/>
  <c r="AL4" i="3"/>
  <c r="AL8" i="1"/>
  <c r="AM4" i="3"/>
  <c r="H63" i="3"/>
  <c r="I63" i="3" s="1"/>
  <c r="U63" i="3"/>
  <c r="W63" i="3" s="1"/>
  <c r="O63" i="3"/>
  <c r="P63" i="3" s="1"/>
  <c r="K63" i="3"/>
  <c r="M63" i="3" s="1"/>
  <c r="D64" i="3"/>
  <c r="R63" i="3"/>
  <c r="S63" i="3" s="1"/>
  <c r="F63" i="3"/>
  <c r="D72" i="1"/>
  <c r="H71" i="1"/>
  <c r="I71" i="1" s="1"/>
  <c r="O71" i="1"/>
  <c r="P71" i="1" s="1"/>
  <c r="F71" i="1"/>
  <c r="U71" i="1"/>
  <c r="W71" i="1" s="1"/>
  <c r="K71" i="1"/>
  <c r="M71" i="1" s="1"/>
  <c r="R71" i="1"/>
  <c r="S71" i="1" s="1"/>
  <c r="AM9" i="1"/>
  <c r="AL9" i="1" l="1"/>
  <c r="AL5" i="3"/>
  <c r="R64" i="3"/>
  <c r="S64" i="3" s="1"/>
  <c r="O64" i="3"/>
  <c r="P64" i="3" s="1"/>
  <c r="K64" i="3"/>
  <c r="M64" i="3" s="1"/>
  <c r="U64" i="3"/>
  <c r="W64" i="3" s="1"/>
  <c r="D65" i="3"/>
  <c r="H64" i="3"/>
  <c r="F64" i="3"/>
  <c r="AM5" i="3"/>
  <c r="AM10" i="1"/>
  <c r="AL10" i="1"/>
  <c r="U72" i="1"/>
  <c r="W72" i="1" s="1"/>
  <c r="H72" i="1"/>
  <c r="I72" i="1" s="1"/>
  <c r="F72" i="1"/>
  <c r="R72" i="1"/>
  <c r="S72" i="1" s="1"/>
  <c r="D73" i="1"/>
  <c r="O72" i="1"/>
  <c r="P72" i="1" s="1"/>
  <c r="K72" i="1"/>
  <c r="M72" i="1" s="1"/>
  <c r="AM11" i="1" l="1"/>
  <c r="AL11" i="1"/>
  <c r="AL6" i="3"/>
  <c r="I64" i="3"/>
  <c r="AM6" i="3"/>
  <c r="O65" i="3"/>
  <c r="P65" i="3" s="1"/>
  <c r="K65" i="3"/>
  <c r="M65" i="3" s="1"/>
  <c r="H65" i="3"/>
  <c r="I65" i="3" s="1"/>
  <c r="F65" i="3"/>
  <c r="D66" i="3"/>
  <c r="R65" i="3"/>
  <c r="S65" i="3" s="1"/>
  <c r="U65" i="3"/>
  <c r="W65" i="3" s="1"/>
  <c r="U73" i="1"/>
  <c r="W73" i="1" s="1"/>
  <c r="H73" i="1"/>
  <c r="I73" i="1" s="1"/>
  <c r="R73" i="1"/>
  <c r="S73" i="1" s="1"/>
  <c r="K73" i="1"/>
  <c r="M73" i="1" s="1"/>
  <c r="D74" i="1"/>
  <c r="O73" i="1"/>
  <c r="P73" i="1" s="1"/>
  <c r="F73" i="1"/>
  <c r="AM7" i="3" l="1"/>
  <c r="O66" i="3"/>
  <c r="P66" i="3" s="1"/>
  <c r="D67" i="3"/>
  <c r="U66" i="3"/>
  <c r="W66" i="3" s="1"/>
  <c r="R66" i="3"/>
  <c r="S66" i="3" s="1"/>
  <c r="K66" i="3"/>
  <c r="M66" i="3" s="1"/>
  <c r="H66" i="3"/>
  <c r="F66" i="3"/>
  <c r="AL7" i="3"/>
  <c r="H74" i="1"/>
  <c r="I74" i="1" s="1"/>
  <c r="U74" i="1"/>
  <c r="W74" i="1" s="1"/>
  <c r="K74" i="1"/>
  <c r="M74" i="1" s="1"/>
  <c r="R74" i="1"/>
  <c r="S74" i="1" s="1"/>
  <c r="F74" i="1"/>
  <c r="O74" i="1"/>
  <c r="P74" i="1" s="1"/>
  <c r="AM12" i="1"/>
  <c r="AI8" i="1" s="1"/>
  <c r="AL12" i="1"/>
  <c r="AI1" i="1" s="1"/>
  <c r="I66" i="3" l="1"/>
  <c r="AL8" i="3"/>
  <c r="AI1" i="3" s="1"/>
  <c r="AM8" i="3"/>
  <c r="AI4" i="3" s="1"/>
  <c r="R67" i="3"/>
  <c r="S67" i="3" s="1"/>
  <c r="O67" i="3"/>
  <c r="P67" i="3" s="1"/>
  <c r="K67" i="3"/>
  <c r="M67" i="3" s="1"/>
  <c r="F67" i="3"/>
  <c r="U67" i="3"/>
  <c r="W67" i="3" s="1"/>
  <c r="H67" i="3"/>
  <c r="AM13" i="1"/>
  <c r="AI9" i="1" s="1"/>
  <c r="AI11" i="1" s="1"/>
  <c r="AL13" i="1"/>
  <c r="AI2" i="1" s="1"/>
  <c r="AG1" i="1" s="1"/>
  <c r="AF1" i="1" s="1"/>
  <c r="AG8" i="1" l="1"/>
  <c r="AF8" i="1" s="1"/>
  <c r="I67" i="3"/>
  <c r="AL9" i="3"/>
  <c r="AI2" i="3" s="1"/>
  <c r="AG1" i="3" s="1"/>
  <c r="AF1" i="3" s="1"/>
  <c r="AM9" i="3"/>
  <c r="AI5" i="3" s="1"/>
  <c r="AG4" i="3" s="1"/>
  <c r="AF4" i="3" s="1"/>
  <c r="L28" i="1"/>
  <c r="AG10" i="1"/>
  <c r="AG12" i="1" s="1"/>
  <c r="Q57" i="1" l="1"/>
  <c r="I13" i="6" s="1"/>
  <c r="L24" i="3"/>
  <c r="AG6" i="3"/>
  <c r="AG8" i="3" s="1"/>
  <c r="AI7" i="3"/>
  <c r="B59" i="1"/>
  <c r="B57" i="1"/>
  <c r="B52" i="3" l="1"/>
  <c r="Q50" i="3"/>
  <c r="B50" i="3"/>
  <c r="I50" i="3" s="1"/>
  <c r="I11" i="6"/>
  <c r="A9" i="6" s="1"/>
  <c r="I57" i="1"/>
  <c r="AI12" i="1"/>
  <c r="I59" i="1"/>
  <c r="I52" i="3" l="1"/>
  <c r="AI8" i="3"/>
  <c r="C9" i="5"/>
  <c r="C8" i="5"/>
  <c r="E3" i="5" s="1"/>
  <c r="A5" i="5" l="1"/>
  <c r="E35" i="5"/>
  <c r="G35" i="5"/>
  <c r="F35" i="5"/>
  <c r="H35" i="5"/>
  <c r="I35" i="5"/>
  <c r="J35" i="5"/>
  <c r="K35" i="5"/>
  <c r="L36" i="5" l="1"/>
  <c r="A37" i="5"/>
</calcChain>
</file>

<file path=xl/sharedStrings.xml><?xml version="1.0" encoding="utf-8"?>
<sst xmlns="http://schemas.openxmlformats.org/spreadsheetml/2006/main" count="682" uniqueCount="329">
  <si>
    <t>Family Size</t>
  </si>
  <si>
    <t>8+</t>
  </si>
  <si>
    <t>FI</t>
  </si>
  <si>
    <t>CI</t>
  </si>
  <si>
    <t>1-7</t>
  </si>
  <si>
    <t>8-8+</t>
  </si>
  <si>
    <t>Cap category</t>
  </si>
  <si>
    <t>Sliding Scale</t>
  </si>
  <si>
    <t>FPL</t>
  </si>
  <si>
    <t>Scale Category</t>
  </si>
  <si>
    <t>Sliding Scale Category</t>
  </si>
  <si>
    <t>Sliding Scale Percent</t>
  </si>
  <si>
    <t>Cap Percent</t>
  </si>
  <si>
    <t>Unemployment</t>
  </si>
  <si>
    <t>Child Support</t>
  </si>
  <si>
    <t>Self-employment (Federal Tax Return w/schedule C</t>
  </si>
  <si>
    <t>Client Name</t>
  </si>
  <si>
    <t>Case Number</t>
  </si>
  <si>
    <t>Date</t>
  </si>
  <si>
    <t>INCOME</t>
  </si>
  <si>
    <t>Client</t>
  </si>
  <si>
    <t>Number of People in Household</t>
  </si>
  <si>
    <t>for each additional person, add</t>
  </si>
  <si>
    <t>Client CAP</t>
  </si>
  <si>
    <t>Client CAP and Sliding Fee Determination</t>
  </si>
  <si>
    <t>Client Income</t>
  </si>
  <si>
    <t>FLP</t>
  </si>
  <si>
    <t>Work Income</t>
  </si>
  <si>
    <t>Worker's Comp</t>
  </si>
  <si>
    <t>Social Security Disability Insurance (SSDI)</t>
  </si>
  <si>
    <t>Pension</t>
  </si>
  <si>
    <t>Supplementary Security Income</t>
  </si>
  <si>
    <t>State Supplement for the Disabled</t>
  </si>
  <si>
    <t>NA for Fees</t>
  </si>
  <si>
    <t>cap calculator</t>
  </si>
  <si>
    <t>Individual Totals</t>
  </si>
  <si>
    <t>Date Paid</t>
  </si>
  <si>
    <t>Out of Pocket Expense</t>
  </si>
  <si>
    <t>Client's Signature</t>
  </si>
  <si>
    <t>MCM Signature</t>
  </si>
  <si>
    <t>Total Out of Pocket Expenses</t>
  </si>
  <si>
    <t>Other (please sum)</t>
  </si>
  <si>
    <t>(Please sum)</t>
  </si>
  <si>
    <t>Row 1. Enter client name and case number (if desired) at top</t>
  </si>
  <si>
    <t>Household Size</t>
  </si>
  <si>
    <t>Yearly Client Cap Category</t>
  </si>
  <si>
    <t>Please attach receipts to this form</t>
  </si>
  <si>
    <t>&lt;100%</t>
  </si>
  <si>
    <t>101-133%</t>
  </si>
  <si>
    <t>134-150%</t>
  </si>
  <si>
    <t>151-200%</t>
  </si>
  <si>
    <t>201-300%</t>
  </si>
  <si>
    <t>301-400%</t>
  </si>
  <si>
    <t>-</t>
  </si>
  <si>
    <t>Cell R5. Enter number of people in household in box at upper right.</t>
  </si>
  <si>
    <t>Household FPL</t>
  </si>
  <si>
    <t>Total Household Income</t>
  </si>
  <si>
    <t>Sliding Fee Scale</t>
  </si>
  <si>
    <t>SERVICE</t>
  </si>
  <si>
    <t>Outpatient/Ambulatory</t>
  </si>
  <si>
    <t>Mental Health</t>
  </si>
  <si>
    <t>Individual</t>
  </si>
  <si>
    <t>Group</t>
  </si>
  <si>
    <t>Oral Health</t>
  </si>
  <si>
    <t>Medical Case Management</t>
  </si>
  <si>
    <t>Medical Nutritional Therapy</t>
  </si>
  <si>
    <t>Medication Adherence</t>
  </si>
  <si>
    <t>Early Intervention Services</t>
  </si>
  <si>
    <t>Health Insurance Premium</t>
  </si>
  <si>
    <t>Non-medical Case Management</t>
  </si>
  <si>
    <t>Emergency Financial Assistance</t>
  </si>
  <si>
    <t>Food Bank/ Home Delivered Meals</t>
  </si>
  <si>
    <t>Food Voucher</t>
  </si>
  <si>
    <t>Housing</t>
  </si>
  <si>
    <t>Legal Services</t>
  </si>
  <si>
    <t>Linguistic Services</t>
  </si>
  <si>
    <t>Psychosocial Support</t>
  </si>
  <si>
    <t>Substance Abuse- Out Patient</t>
  </si>
  <si>
    <t>0- 100%</t>
  </si>
  <si>
    <t>151- 200%</t>
  </si>
  <si>
    <t>201- 300%</t>
  </si>
  <si>
    <t>301- 400%</t>
  </si>
  <si>
    <t>Check box</t>
  </si>
  <si>
    <t>Substance Abuse- Residential</t>
  </si>
  <si>
    <t>Ryan White</t>
  </si>
  <si>
    <t>Annual Income:</t>
  </si>
  <si>
    <t>Annual Cap:</t>
  </si>
  <si>
    <t>Amount</t>
  </si>
  <si>
    <t xml:space="preserve">Date </t>
  </si>
  <si>
    <t>Description of Expense</t>
  </si>
  <si>
    <t>Today's Date</t>
  </si>
  <si>
    <t xml:space="preserve">12 Month Period used for Determination </t>
  </si>
  <si>
    <t>to</t>
  </si>
  <si>
    <t>Start Date</t>
  </si>
  <si>
    <t>End Date</t>
  </si>
  <si>
    <t xml:space="preserve">Prior 12 Month Period used for Determination </t>
  </si>
  <si>
    <t xml:space="preserve">Total= </t>
  </si>
  <si>
    <t xml:space="preserve">This sheet uses the </t>
  </si>
  <si>
    <t>tab</t>
  </si>
  <si>
    <t xml:space="preserve">This spreadsheet is an aid to the eligibility determination, sliding fee schedule, and annual client cap on </t>
  </si>
  <si>
    <t>You MUST enter the "Household Size" in cell R5</t>
  </si>
  <si>
    <t>The client's income is always entered in column B</t>
  </si>
  <si>
    <t>It is recommended that you name this file something that will be meaningful for future use</t>
  </si>
  <si>
    <t>Enter the Client's Name and/or Case Number in cells A1 and H1 respectively</t>
  </si>
  <si>
    <t>Cells which you can modify have been colored</t>
  </si>
  <si>
    <t>Green- Sliding Fee Percents. Change ONLY if your agency has a different, established sliding fee schedule</t>
  </si>
  <si>
    <t>Med Expenses Tab</t>
  </si>
  <si>
    <t>You may choose to have the "Fees" tab calculate the sliding fees due on any one day for the client</t>
  </si>
  <si>
    <t>Cap Tab</t>
  </si>
  <si>
    <t>"N/A" appears in the boxes if either the household size is not entered or if income exceeds 400% FPL</t>
  </si>
  <si>
    <t>on this day</t>
  </si>
  <si>
    <t>Amount Received</t>
  </si>
  <si>
    <t>Medical Transportation</t>
  </si>
  <si>
    <t>Remaining Cap $:</t>
  </si>
  <si>
    <t>e.g. ClientNameYear "Eligibility", URN Year "Eligibility" or Case# Year "Eligibility"</t>
  </si>
  <si>
    <t xml:space="preserve">Enter the income of all individuals in the household in the appropriate column and line. </t>
  </si>
  <si>
    <t xml:space="preserve">Enter something (either 1 or X works) in column A next to the services the client will receive </t>
  </si>
  <si>
    <t xml:space="preserve">Tab "Med Expenses". Enter any medical out of pocket expenses the client paid that should be taken into account as adjustments in determining income  (i.e. co-payments, insurance premiums, deductibles, etc.) in </t>
  </si>
  <si>
    <t xml:space="preserve">     the Household and Client Income to determine future Ryan White Sliding Fees.</t>
  </si>
  <si>
    <t>Undiscounted Service Fee</t>
  </si>
  <si>
    <t>Enter the RE/Assessment date in cell G7. The beginning date is automatically calculated for you (365 days)</t>
  </si>
  <si>
    <t>Current Re/Assessment Date</t>
  </si>
  <si>
    <t>Enter the description, date and amount of each payment beginning on line 12</t>
  </si>
  <si>
    <t>The total amount (line 46) is automatically transferred to the "Annual" tab and 1/12 of it to the "Monthly" tab</t>
  </si>
  <si>
    <t>The fee for each service (rounded to the nearest dollar) and the total for the day will be shown in the table.</t>
  </si>
  <si>
    <t xml:space="preserve">     the table on this tab. The total will automatically be placed here. Please note that medical expenses taken into account must be within a 12-month period of time before Re/Assessment and is used to calculate </t>
  </si>
  <si>
    <t>RYAN WHITE ELIGIBILITY WORKSHEET</t>
  </si>
  <si>
    <t xml:space="preserve"> (Prior 12 month period)</t>
  </si>
  <si>
    <t>for Ryan White Eligibility Worksheet</t>
  </si>
  <si>
    <t>Client's Out-of-Pocket Medical Expenses Worksheet</t>
  </si>
  <si>
    <t>None</t>
  </si>
  <si>
    <t>&gt;400%</t>
  </si>
  <si>
    <t>N/A</t>
  </si>
  <si>
    <t>&gt;</t>
  </si>
  <si>
    <t xml:space="preserve"> (MCM &amp; ADAP only)</t>
  </si>
  <si>
    <t>(MCM only)</t>
  </si>
  <si>
    <t>Client Adjusted Income</t>
  </si>
  <si>
    <r>
      <t xml:space="preserve">The client's </t>
    </r>
    <r>
      <rPr>
        <u/>
        <sz val="10"/>
        <rFont val="Arial"/>
        <family val="2"/>
      </rPr>
      <t>paid</t>
    </r>
    <r>
      <rPr>
        <sz val="10"/>
        <rFont val="Arial"/>
        <family val="2"/>
      </rPr>
      <t xml:space="preserve"> medical expenses in the past year  may be deducted from the client's income for Fees</t>
    </r>
  </si>
  <si>
    <t>and Cap determination by filling out the "Med Expenses" tab.</t>
  </si>
  <si>
    <t>If #VALUE! appears in the Medical Expenses box (row 45), there is an error on the Med Expenses tab</t>
  </si>
  <si>
    <t>0-100%</t>
  </si>
  <si>
    <t>200-300%</t>
  </si>
  <si>
    <t>300-400%</t>
  </si>
  <si>
    <t>created 11/12</t>
  </si>
  <si>
    <t>Annual Client Cap on Service Charges</t>
  </si>
  <si>
    <t>service charges for your clients</t>
  </si>
  <si>
    <t xml:space="preserve">Rows 10-18. Enter all income from household members in the appropriate columns. Household Income is the aggregate gross income of all members of a household who are 15 years or older.  Household </t>
  </si>
  <si>
    <t xml:space="preserve">Row 19. Enter an "X" in the Client Income column if the client states that they have no family income. In this case, a Zero Income Affidavit (signed and witnessed) is required. NOTE: the affidavit replaces </t>
  </si>
  <si>
    <t xml:space="preserve">     proof of income. In this case the client will be placed in Category 1.</t>
  </si>
  <si>
    <t xml:space="preserve">     is defined in section 31-51 of the CT General Statute: "Individuals who share use of a dwelling unit as primary quarters for living and eating separate from other individuals".</t>
  </si>
  <si>
    <t>Income includes but is not limited to:</t>
  </si>
  <si>
    <t>Adapted from HOWPA/MR</t>
  </si>
  <si>
    <t>I,</t>
  </si>
  <si>
    <t>compensation and severance pay</t>
  </si>
  <si>
    <t>a.  Gross wages, salaries overtime pay, commission, fees, tips and bonuses</t>
  </si>
  <si>
    <t>b.  Net income from operation of a business or from rental or real personal property</t>
  </si>
  <si>
    <t>c.  Interest, dividends and other net income of any kind for real personal property</t>
  </si>
  <si>
    <t>g.  Alimony and/or child support payments</t>
  </si>
  <si>
    <t xml:space="preserve">    income since</t>
  </si>
  <si>
    <t>.  I do not expect to receive income until</t>
  </si>
  <si>
    <t xml:space="preserve">.  I have </t>
  </si>
  <si>
    <t xml:space="preserve"> (date).</t>
  </si>
  <si>
    <t>f.  Payments in lieu of earnings, such as unemployment and disability compensation, worker’s</t>
  </si>
  <si>
    <t>I have stated that during this verification process that I have no income at this time.  I have not received</t>
  </si>
  <si>
    <t xml:space="preserve">, have requested medical and/or support services through the </t>
  </si>
  <si>
    <t xml:space="preserve">Ryan White Program; the Health Resource Service Administration (HRSA) requires verification of </t>
  </si>
  <si>
    <t>total household income*.</t>
  </si>
  <si>
    <t xml:space="preserve">d.  Periodic payments received from Social Security, annuities, insurance policies, retirement </t>
  </si>
  <si>
    <t>funds, pensions, disability or death benefits and other similar types of period receipts</t>
  </si>
  <si>
    <r>
      <t>e.  Lump sum payment(s) for the delay start of a periodic payment</t>
    </r>
    <r>
      <rPr>
        <sz val="11"/>
        <color rgb="FFFF0000"/>
        <rFont val="Calibri"/>
        <family val="2"/>
        <scheme val="minor"/>
      </rPr>
      <t xml:space="preserve"> </t>
    </r>
    <r>
      <rPr>
        <sz val="11"/>
        <rFont val="Calibri"/>
        <family val="2"/>
        <scheme val="minor"/>
      </rPr>
      <t xml:space="preserve">such as SSI or SSDI </t>
    </r>
  </si>
  <si>
    <t>retroactive payments</t>
  </si>
  <si>
    <t xml:space="preserve">h.  Regular pay, special pay and allowances of a head of household or spouse who is a member </t>
  </si>
  <si>
    <t>of the Armed Forces (whether or not living in the dwelling)</t>
  </si>
  <si>
    <t>Note*It is unlawful to provide false information to the government when applying for federal public</t>
  </si>
  <si>
    <t>benefit programs per the Program Fraud Civil Remedies Act of 1986, 31 U.S.C. §§ 3809.</t>
  </si>
  <si>
    <t xml:space="preserve">I certify that the above information is true and correct.  I also understand that it is my responsibility to </t>
  </si>
  <si>
    <t>days of such change.</t>
  </si>
  <si>
    <t xml:space="preserve">I,  </t>
  </si>
  <si>
    <t xml:space="preserve"> am aware that HRSA requires RW Part A &amp; B service providers to charge fees for services (e.g. sliding </t>
  </si>
  <si>
    <t>fee scale and client cap on charges) based on Federal Statue RWA 2605 (e), RWB 2617 (c). At this time I do not have the money</t>
  </si>
  <si>
    <t xml:space="preserve"> to pay the fees for the services I need. I understand that I will not be denied services based on my inability to pay.</t>
  </si>
  <si>
    <t>Witness's Signature</t>
  </si>
  <si>
    <t>Only the individual 100% FPL and the increment for an additional household member is necessary, the</t>
  </si>
  <si>
    <t>If "ADAP and MCM Only" appears in cell M23, the household income is 301-400% FPL</t>
  </si>
  <si>
    <t>If "&gt;400%, MCM Only" appears in cell M23, the household income is &gt;400% FPL</t>
  </si>
  <si>
    <t>Zero Income Tab</t>
  </si>
  <si>
    <t>If the client reports no income, the Zero Income tab is required to be filled out, printed and signed by</t>
  </si>
  <si>
    <t xml:space="preserve">report to my MCM all changes to my household composition or income in writing to within ten (10) business </t>
  </si>
  <si>
    <t xml:space="preserve">Signature: </t>
  </si>
  <si>
    <t xml:space="preserve">Date: </t>
  </si>
  <si>
    <t>Witness:</t>
  </si>
  <si>
    <t>Date:</t>
  </si>
  <si>
    <t>Maximum Yearly CAP Charge to Client</t>
  </si>
  <si>
    <t>the client and MCM. In this case the client is assigned Category 1 for CAP and Fees which</t>
  </si>
  <si>
    <t>services still depends on Household Income.</t>
  </si>
  <si>
    <t>means that no fees may be charged and therefore there is no CAP for this client. Eligibility for</t>
  </si>
  <si>
    <t>Current Year Client Charges</t>
  </si>
  <si>
    <t>Description of Charges</t>
  </si>
  <si>
    <t>Total Charged to Date</t>
  </si>
  <si>
    <t>Agency (Abbr)</t>
  </si>
  <si>
    <t>Blue- data entry for this client on all tabs</t>
  </si>
  <si>
    <t>101-138%</t>
  </si>
  <si>
    <t>139-150%</t>
  </si>
  <si>
    <t>Adjusted Gross Income (Federal Tax Form)</t>
  </si>
  <si>
    <t>101- 138%</t>
  </si>
  <si>
    <t>139- 150%</t>
  </si>
  <si>
    <t>Household Member 1</t>
  </si>
  <si>
    <t>Household Member 2</t>
  </si>
  <si>
    <t>Household Member 3</t>
  </si>
  <si>
    <t>Household Member 4</t>
  </si>
  <si>
    <t>Other Household Members</t>
  </si>
  <si>
    <t>Rehab</t>
  </si>
  <si>
    <t>Detox</t>
  </si>
  <si>
    <t>Each client must have their own file so Before you begin, please change the  name of this file</t>
  </si>
  <si>
    <t xml:space="preserve"> by using "Save As".</t>
  </si>
  <si>
    <t>Household income and FPL will be shown in cells B24 and M24 respectively</t>
  </si>
  <si>
    <t>Client's Income and Household Size are on line 46</t>
  </si>
  <si>
    <t xml:space="preserve">    applied for other financial assistance on</t>
  </si>
  <si>
    <t>Cat 4</t>
  </si>
  <si>
    <t>Cat 3</t>
  </si>
  <si>
    <t>Cat 2</t>
  </si>
  <si>
    <t>Cat 1</t>
  </si>
  <si>
    <t>Cat 5</t>
  </si>
  <si>
    <t>Cat 6</t>
  </si>
  <si>
    <t>Agency Initials</t>
  </si>
  <si>
    <t>Enter your Agency's Initials in cell O1</t>
  </si>
  <si>
    <t>You may change the date in J1 if services were delivered on a day different from today.</t>
  </si>
  <si>
    <t xml:space="preserve">Enter either the name or the case number in A1 or E1 respectively. </t>
  </si>
  <si>
    <t>Enter your Agency's Initials in H1</t>
  </si>
  <si>
    <t>Each of the completed tabs can be printed and placed in the client file. They also can be "saved as" a PDF</t>
  </si>
  <si>
    <t>file so they can be attached to the client record in CAREWare.</t>
  </si>
  <si>
    <t>Cap Category</t>
  </si>
  <si>
    <t>Eligibility</t>
  </si>
  <si>
    <t>RYAN WHITE ELIGIBILITY RECERTIFICATION</t>
  </si>
  <si>
    <t>rest of the table is calculated from this.</t>
  </si>
  <si>
    <t>You can only change the Sliding Fee Percents on the Eligibility tab, which will change all other tabs</t>
  </si>
  <si>
    <t xml:space="preserve">Eligibility Tab Printed Page 1 </t>
  </si>
  <si>
    <t>You can enter formulas in the cells to adjust the dollar amounts that you have to an annual total</t>
  </si>
  <si>
    <t>e.g. biweekly paycheck amounts must be multiplied by 26  '=net amount*26'</t>
  </si>
  <si>
    <t>Client's Annual Cap on Charges is on line 50</t>
  </si>
  <si>
    <t>Sliding Fee Percent</t>
  </si>
  <si>
    <t>EligReCert Tab Printed Page 1</t>
  </si>
  <si>
    <t xml:space="preserve">These last three can be found in the highest numbered "cap" file as an attachment in CAREWare on </t>
  </si>
  <si>
    <t>The client's first eligibility determination of the year is entered on the "Eligibility" tab</t>
  </si>
  <si>
    <t>while monthly income must be multiplied by 12 '=net amount*12'</t>
  </si>
  <si>
    <t xml:space="preserve">You must at a minimum, fill out the Start Date that you are using to keep track of the fees and other </t>
  </si>
  <si>
    <t xml:space="preserve">medical expenses that are CHARGED (not necessarily paid) by your client during the upcoming </t>
  </si>
  <si>
    <t>year to ensure that the CHARGES do not exceed the Annual Client Cap for the client.</t>
  </si>
  <si>
    <r>
      <t xml:space="preserve">Enter the start date of the Determination year (begins the day </t>
    </r>
    <r>
      <rPr>
        <b/>
        <u/>
        <sz val="10"/>
        <rFont val="Arial"/>
        <family val="2"/>
      </rPr>
      <t>OF</t>
    </r>
    <r>
      <rPr>
        <sz val="10"/>
        <rFont val="Arial"/>
        <family val="2"/>
      </rPr>
      <t xml:space="preserve"> Determination) in cell D6. </t>
    </r>
  </si>
  <si>
    <t>Enter the description, date, your Agency's initials and amount of each charge (beginning on line 19)</t>
  </si>
  <si>
    <t>The total charged to the client and the remaining amount before reaching the cap are shown in row 15</t>
  </si>
  <si>
    <t>If the client pays some or all of the fees, please fill out the signatures and amount PAID on line 37</t>
  </si>
  <si>
    <t>If the client is unable to pay the fees, please enter $0 in K37 and provide signatures on line 45</t>
  </si>
  <si>
    <t>Enter the "Total Charged to Date" and "Remaining Cap" in D6 and I6, respectively</t>
  </si>
  <si>
    <t>The rest of this tab is filled out exactly as the Fees tab.</t>
  </si>
  <si>
    <t>Again please choose the appropriate signature line and include the amount received from the client.</t>
  </si>
  <si>
    <t>Sliding Fee Charges for Ryan White Services</t>
  </si>
  <si>
    <t>Eligibility Tab Printed Page 2 Client Cap and Sliding Fee Charge Determination</t>
  </si>
  <si>
    <t>Clients Sliding Fee Charge Schedule is on line 52</t>
  </si>
  <si>
    <t>Charges Tab</t>
  </si>
  <si>
    <t>AddCharges Tab</t>
  </si>
  <si>
    <t>Annual Client Cap Category</t>
  </si>
  <si>
    <t>Sliding Fee Charges Category</t>
  </si>
  <si>
    <t xml:space="preserve">responsibility to ensure that all charges (from their own Agency, another Ryan White funded </t>
  </si>
  <si>
    <t xml:space="preserve">Agency, or a third party) to the client for services are included in the Cap Tab until the Annual </t>
  </si>
  <si>
    <t xml:space="preserve">Client Cap is reached. After that, no fees may be charged until the next determination period </t>
  </si>
  <si>
    <t xml:space="preserve">Page 2 will automatically determine the Annual Client Cap on Charges and the Sliding Fee Charge </t>
  </si>
  <si>
    <r>
      <t xml:space="preserve">Percent based on the </t>
    </r>
    <r>
      <rPr>
        <b/>
        <u/>
        <sz val="10"/>
        <rFont val="Arial"/>
        <family val="2"/>
      </rPr>
      <t>Client's Income</t>
    </r>
    <r>
      <rPr>
        <sz val="10"/>
        <rFont val="Arial"/>
        <family val="2"/>
      </rPr>
      <t xml:space="preserve"> and Household Size.</t>
    </r>
  </si>
  <si>
    <t xml:space="preserve"> am aware that HRSA requires RW Part A &amp; B service providers to charge fees </t>
  </si>
  <si>
    <t xml:space="preserve">for services (e.g. sliding fee scale and client cap on charges) based on Federal Statue RWA 2605 (e), </t>
  </si>
  <si>
    <t xml:space="preserve">RWB 2617 (c). At this time I do not have the money to pay the fees for the services I need. I understand </t>
  </si>
  <si>
    <t>that I will not be denied services based on my inability to pay.</t>
  </si>
  <si>
    <t xml:space="preserve">If you have trouble printing the forms please set the margins to Top/Bottom= .5", Left/Right= .5" or set the </t>
  </si>
  <si>
    <t>custom scaling to "fit sheet on one page" for all BUT the Eligibility tab.</t>
  </si>
  <si>
    <t>Total Charges Today</t>
  </si>
  <si>
    <t>Self-employment (Federal Tax Return w/schedule C)</t>
  </si>
  <si>
    <t>page 1</t>
  </si>
  <si>
    <t xml:space="preserve">It is the MCM's or person of first contact before the client accepts an MCM (e.g. TCM,EIS, MAI, MAP) </t>
  </si>
  <si>
    <t>There is space for 24 charges on the form. In the event that a client accrues more than that you will</t>
  </si>
  <si>
    <t xml:space="preserve">begins. You can then print the Charges tab showing $0.00 in the "Remaining Cap $:" field and </t>
  </si>
  <si>
    <t xml:space="preserve">Total Charged To Date (including the old charges total) will show in cell B15. Finally change the </t>
  </si>
  <si>
    <t xml:space="preserve">give it (or more than one page if necessary) to the client as documentation that they should not </t>
  </si>
  <si>
    <t>be charged any more fees for the rest of the Determination Year.</t>
  </si>
  <si>
    <t xml:space="preserve">If you are not the MCM of the client (e.g. the client has been referred to you) you can use the </t>
  </si>
  <si>
    <t>AddCharges tab to track any fees you charge to the client.</t>
  </si>
  <si>
    <r>
      <t xml:space="preserve">The filename convention for the tab PDF is: </t>
    </r>
    <r>
      <rPr>
        <b/>
        <sz val="10"/>
        <rFont val="Arial"/>
        <family val="2"/>
      </rPr>
      <t>first</t>
    </r>
    <r>
      <rPr>
        <sz val="10"/>
        <rFont val="Arial"/>
        <family val="2"/>
      </rPr>
      <t xml:space="preserve"> and</t>
    </r>
    <r>
      <rPr>
        <b/>
        <sz val="10"/>
        <rFont val="Arial"/>
        <family val="2"/>
      </rPr>
      <t xml:space="preserve"> third</t>
    </r>
    <r>
      <rPr>
        <sz val="10"/>
        <rFont val="Arial"/>
        <family val="2"/>
      </rPr>
      <t xml:space="preserve"> letter of the </t>
    </r>
    <r>
      <rPr>
        <b/>
        <sz val="10"/>
        <rFont val="Arial"/>
        <family val="2"/>
      </rPr>
      <t>first name</t>
    </r>
    <r>
      <rPr>
        <sz val="10"/>
        <rFont val="Arial"/>
        <family val="2"/>
      </rPr>
      <t xml:space="preserve">, </t>
    </r>
    <r>
      <rPr>
        <b/>
        <sz val="10"/>
        <rFont val="Arial"/>
        <family val="2"/>
      </rPr>
      <t>first</t>
    </r>
    <r>
      <rPr>
        <sz val="10"/>
        <rFont val="Arial"/>
        <family val="2"/>
      </rPr>
      <t xml:space="preserve"> and </t>
    </r>
    <r>
      <rPr>
        <b/>
        <sz val="10"/>
        <rFont val="Arial"/>
        <family val="2"/>
      </rPr>
      <t>third</t>
    </r>
    <r>
      <rPr>
        <sz val="10"/>
        <rFont val="Arial"/>
        <family val="2"/>
      </rPr>
      <t xml:space="preserve"> letter of the </t>
    </r>
  </si>
  <si>
    <r>
      <rPr>
        <b/>
        <sz val="10"/>
        <rFont val="Arial"/>
        <family val="2"/>
      </rPr>
      <t>last name</t>
    </r>
    <r>
      <rPr>
        <sz val="10"/>
        <rFont val="Arial"/>
        <family val="2"/>
      </rPr>
      <t xml:space="preserve">, year in which the Cap period </t>
    </r>
    <r>
      <rPr>
        <b/>
        <sz val="10"/>
        <rFont val="Arial"/>
        <family val="2"/>
      </rPr>
      <t>starts</t>
    </r>
    <r>
      <rPr>
        <sz val="10"/>
        <rFont val="Arial"/>
        <family val="2"/>
      </rPr>
      <t xml:space="preserve">, the </t>
    </r>
    <r>
      <rPr>
        <b/>
        <sz val="10"/>
        <rFont val="Arial"/>
        <family val="2"/>
      </rPr>
      <t>tab name</t>
    </r>
    <r>
      <rPr>
        <sz val="10"/>
        <rFont val="Arial"/>
        <family val="2"/>
      </rPr>
      <t xml:space="preserve"> followed by the number of the file.</t>
    </r>
  </si>
  <si>
    <t>PFD copies of the tabs</t>
  </si>
  <si>
    <t>All completed forms (including typed signatures) should be converted into PDF files and attached to the</t>
  </si>
  <si>
    <t>client's record in CAREWare.</t>
  </si>
  <si>
    <r>
      <t xml:space="preserve">Please go to the “File” tab at the top of the Excel window and click on “Save As”. It is </t>
    </r>
    <r>
      <rPr>
        <b/>
        <u/>
        <sz val="11"/>
        <rFont val="Calibri"/>
        <family val="2"/>
      </rPr>
      <t>VERY</t>
    </r>
    <r>
      <rPr>
        <sz val="11"/>
        <rFont val="Calibri"/>
        <family val="2"/>
      </rPr>
      <t xml:space="preserve"> important </t>
    </r>
  </si>
  <si>
    <t xml:space="preserve">that you know where (what folder) you will save this file because you will have to find it again in </t>
  </si>
  <si>
    <t xml:space="preserve">please enter the file name according to the filenaming convention explained above. Please do </t>
  </si>
  <si>
    <t xml:space="preserve">not put spaces in the filename as this distorts the alphabetical listing by the computer. </t>
  </si>
  <si>
    <r>
      <t xml:space="preserve">If you save the PDF file with the wrong number at the end of the name </t>
    </r>
    <r>
      <rPr>
        <b/>
        <u/>
        <sz val="11"/>
        <rFont val="Calibri"/>
        <family val="2"/>
      </rPr>
      <t>please rename</t>
    </r>
    <r>
      <rPr>
        <sz val="11"/>
        <rFont val="Calibri"/>
        <family val="2"/>
      </rPr>
      <t xml:space="preserve"> the file after </t>
    </r>
  </si>
  <si>
    <t xml:space="preserve">checking in CW for the highest numbered file of that type (tab name) before you attach the file. </t>
  </si>
  <si>
    <t xml:space="preserve">It is important that we be able to identify the newest files correctly. </t>
  </si>
  <si>
    <t xml:space="preserve">down box and near the bottom of the list click on “PDF (*.pdf)”. In the “File name:” field </t>
  </si>
  <si>
    <t>order to attach it in CW! At the bottom of the “Save As” window, open the “Save as Type:” drop</t>
  </si>
  <si>
    <t>Choose  the "Sliding Fee Category" in C10 from the drop down box</t>
  </si>
  <si>
    <t>the "Custom Tab 1" (or "Part B State" tab) in the client file.</t>
  </si>
  <si>
    <t/>
  </si>
  <si>
    <t xml:space="preserve">Brown- Undiscounted Service Fees. Change ONLY if your agency has a different, established undiscounted </t>
  </si>
  <si>
    <t>Health Insurance Cost Sharing</t>
  </si>
  <si>
    <t xml:space="preserve">Now delete all the old charges and enter your new charge in line 20. The new </t>
  </si>
  <si>
    <t xml:space="preserve">"page" number to "2" in cell A44. </t>
  </si>
  <si>
    <t xml:space="preserve">have to start a second form. To do this write down the amount that already shows in the "Total" </t>
  </si>
  <si>
    <t xml:space="preserve">cell at the bottom. Go to line 19. Under "Description of Charges" enter "Sum of previous </t>
  </si>
  <si>
    <t xml:space="preserve">charges against cap". Under "Agency (Abbr)" enter your agency initials, under "Date" enter </t>
  </si>
  <si>
    <t xml:space="preserve">today's date and under "Amount" enter the total of the charges that you just noted. </t>
  </si>
  <si>
    <t xml:space="preserve">A copy of this sheet should go into the client's file to verify charges. These charges can then be entered </t>
  </si>
  <si>
    <t>into the Cap Tab to track charges.</t>
  </si>
  <si>
    <t>For users of Microsoft Office 2010 or newer versions</t>
  </si>
  <si>
    <t>We only want the Eligibility and EligReCert tabs to be attached to the client's CW record (this is in</t>
  </si>
  <si>
    <t xml:space="preserve">addition to the proof of HIV+ status, CAREWare Data Sharing form, and any ROI's you have for </t>
  </si>
  <si>
    <t>this client).</t>
  </si>
  <si>
    <r>
      <t xml:space="preserve">Client Thomas Smith would initially have files named </t>
    </r>
    <r>
      <rPr>
        <b/>
        <sz val="10"/>
        <rFont val="Arial"/>
        <family val="2"/>
      </rPr>
      <t>TOSI2013Eligibility1</t>
    </r>
    <r>
      <rPr>
        <sz val="10"/>
        <rFont val="Arial"/>
        <family val="2"/>
      </rPr>
      <t xml:space="preserve">, </t>
    </r>
    <r>
      <rPr>
        <b/>
        <sz val="10"/>
        <rFont val="Arial"/>
        <family val="2"/>
      </rPr>
      <t xml:space="preserve">TOSI2013HIV+, </t>
    </r>
  </si>
  <si>
    <r>
      <rPr>
        <b/>
        <sz val="10"/>
        <rFont val="Arial"/>
        <family val="2"/>
      </rPr>
      <t>TOSI2013CWConsent</t>
    </r>
    <r>
      <rPr>
        <sz val="10"/>
        <rFont val="Arial"/>
        <family val="2"/>
      </rPr>
      <t>.</t>
    </r>
  </si>
  <si>
    <t>Purple- The new year's Poverty Guidelines may be entered on the Eligibility tab to update all the tables.</t>
  </si>
  <si>
    <t>service fee for a particular service. You can only change the Service Fees on the Charges.</t>
  </si>
  <si>
    <t>Revised by RW Part A 2/24/16 / attestation clause</t>
  </si>
  <si>
    <t>Attestation</t>
  </si>
  <si>
    <t xml:space="preserve"> </t>
  </si>
  <si>
    <t>Attestation Date</t>
  </si>
  <si>
    <t>Fill out the same as with the Eligibility tab but this tab is used for redetermination of eligibility</t>
  </si>
  <si>
    <r>
      <t xml:space="preserve">after the Eligibility tab. </t>
    </r>
    <r>
      <rPr>
        <b/>
        <sz val="10"/>
        <color rgb="FFFF0000"/>
        <rFont val="Arial"/>
        <family val="2"/>
      </rPr>
      <t>(Verbal Attestation :- if there are no changes in the clients income at the annual redetermination, the client can verbally attest to no said changes and this will suffice as acceptable financial proof per HRSA</t>
    </r>
    <r>
      <rPr>
        <sz val="10"/>
        <color rgb="FFFF0000"/>
        <rFont val="Arial"/>
        <family val="2"/>
      </rPr>
      <t>)</t>
    </r>
    <r>
      <rPr>
        <sz val="10"/>
        <rFont val="Arial"/>
        <family val="2"/>
      </rPr>
      <t xml:space="preserve">. This does </t>
    </r>
    <r>
      <rPr>
        <b/>
        <sz val="10"/>
        <rFont val="Arial"/>
        <family val="2"/>
      </rPr>
      <t>NOT</t>
    </r>
    <r>
      <rPr>
        <sz val="10"/>
        <rFont val="Arial"/>
        <family val="2"/>
      </rPr>
      <t xml:space="preserve"> affect the existing Annual Cap on Charges but may affect  the eligibility for Ryan White services depending on income and household size changes.</t>
    </r>
  </si>
  <si>
    <t>Ryan White Program Zero Income Affidavit</t>
  </si>
  <si>
    <t>based on 2026 HHS FPL Guidelines (https://aspe.hhs.gov/topics/poverty-economic-mobility/poverty-guidelines)</t>
  </si>
  <si>
    <t>Revised by RW Part A 1/16/26 / Federal Poverty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</si>
</sst>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3" formatCode="_(* #,##0.00_);_(* \(#,##0.00\);_(* &quot;-&quot;??_);_(@_)"/>
    <numFmt numFmtId="164" formatCode="[$-409]mmmm\ d\,\ yyyy;@"/>
    <numFmt numFmtId="165" formatCode="&quot;$&quot;#,##0"/>
    <numFmt numFmtId="166" formatCode="&quot;$&quot;#,##0.00"/>
    <numFmt numFmtId="167" formatCode="m/d/yy;@"/>
    <numFmt numFmtId="168" formatCode="0.0%"/>
  </numFmts>
  <fonts count="31" x14ac:knownFonts="1">
    <font>
      <sz val="10"/>
      <name val="Arial"/>
    </font>
    <font>
      <sz val="10"/>
      <name val="Arial"/>
      <family val="2"/>
    </font>
    <font>
      <sz val="10"/>
      <name val="Arial"/>
      <family val="2"/>
    </font>
    <font>
      <sz val="20"/>
      <name val="Arial"/>
      <family val="2"/>
    </font>
    <font>
      <b/>
      <sz val="10"/>
      <name val="Arial"/>
      <family val="2"/>
    </font>
    <font>
      <sz val="14"/>
      <name val="Arial"/>
      <family val="2"/>
    </font>
    <font>
      <sz val="12"/>
      <name val="Arial"/>
      <family val="2"/>
    </font>
    <font>
      <sz val="18"/>
      <name val="Arial"/>
      <family val="2"/>
    </font>
    <font>
      <sz val="8"/>
      <name val="Arial"/>
      <family val="2"/>
    </font>
    <font>
      <sz val="6"/>
      <name val="Arial"/>
      <family val="2"/>
    </font>
    <font>
      <b/>
      <u/>
      <sz val="10"/>
      <name val="Arial"/>
      <family val="2"/>
    </font>
    <font>
      <u/>
      <sz val="10"/>
      <name val="Arial"/>
      <family val="2"/>
    </font>
    <font>
      <b/>
      <sz val="18"/>
      <name val="Arial"/>
      <family val="2"/>
    </font>
    <font>
      <sz val="10"/>
      <color rgb="FFFF0000"/>
      <name val="Arial"/>
      <family val="2"/>
    </font>
    <font>
      <sz val="14"/>
      <color rgb="FFFF0000"/>
      <name val="Arial"/>
      <family val="2"/>
    </font>
    <font>
      <sz val="10"/>
      <color rgb="FF0000FF"/>
      <name val="Arial"/>
      <family val="2"/>
    </font>
    <font>
      <sz val="12"/>
      <color rgb="FFFF0000"/>
      <name val="Arial"/>
      <family val="2"/>
    </font>
    <font>
      <b/>
      <sz val="14"/>
      <name val="Calibri"/>
      <family val="2"/>
    </font>
    <font>
      <sz val="12"/>
      <name val="Calibri"/>
      <family val="2"/>
    </font>
    <font>
      <sz val="8"/>
      <name val="Times New Roman"/>
      <family val="1"/>
    </font>
    <font>
      <sz val="10"/>
      <name val="Calibri"/>
      <family val="2"/>
    </font>
    <font>
      <sz val="11"/>
      <name val="Calibri"/>
      <family val="2"/>
      <scheme val="minor"/>
    </font>
    <font>
      <sz val="11"/>
      <color rgb="FFFF0000"/>
      <name val="Calibri"/>
      <family val="2"/>
      <scheme val="minor"/>
    </font>
    <font>
      <i/>
      <sz val="11"/>
      <name val="Calibri"/>
      <family val="2"/>
      <scheme val="minor"/>
    </font>
    <font>
      <sz val="10"/>
      <name val="Lucida Calligraphy"/>
      <family val="4"/>
    </font>
    <font>
      <sz val="11"/>
      <name val="Lucida Calligraphy"/>
      <family val="4"/>
    </font>
    <font>
      <sz val="10"/>
      <name val="Arial"/>
      <family val="2"/>
    </font>
    <font>
      <sz val="12"/>
      <name val="Lucida Calligraphy"/>
      <family val="4"/>
    </font>
    <font>
      <sz val="11"/>
      <name val="Calibri"/>
      <family val="2"/>
    </font>
    <font>
      <b/>
      <u/>
      <sz val="11"/>
      <name val="Calibri"/>
      <family val="2"/>
    </font>
    <font>
      <b/>
      <sz val="10"/>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CCFF99"/>
        <bgColor indexed="64"/>
      </patternFill>
    </fill>
    <fill>
      <patternFill patternType="solid">
        <fgColor rgb="FFFFCCFF"/>
        <bgColor indexed="64"/>
      </patternFill>
    </fill>
    <fill>
      <patternFill patternType="solid">
        <fgColor rgb="FFFFCC99"/>
        <bgColor indexed="64"/>
      </patternFill>
    </fill>
    <fill>
      <patternFill patternType="solid">
        <fgColor rgb="FFFFCC99"/>
        <bgColor rgb="FFFFCC99"/>
      </patternFill>
    </fill>
    <fill>
      <patternFill patternType="solid">
        <fgColor rgb="FFFFFF00"/>
        <bgColor indexed="64"/>
      </patternFill>
    </fill>
  </fills>
  <borders count="88">
    <border>
      <left/>
      <right/>
      <top/>
      <bottom/>
      <diagonal/>
    </border>
    <border>
      <left/>
      <right/>
      <top/>
      <bottom style="thick">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medium">
        <color indexed="64"/>
      </right>
      <top style="medium">
        <color indexed="64"/>
      </top>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bottom/>
      <diagonal/>
    </border>
    <border>
      <left/>
      <right style="thick">
        <color indexed="64"/>
      </right>
      <top style="thick">
        <color indexed="64"/>
      </top>
      <bottom/>
      <diagonal/>
    </border>
    <border>
      <left style="thick">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top style="thin">
        <color indexed="64"/>
      </top>
      <bottom style="thick">
        <color indexed="64"/>
      </bottom>
      <diagonal/>
    </border>
    <border>
      <left/>
      <right style="thick">
        <color indexed="64"/>
      </right>
      <top/>
      <bottom style="medium">
        <color indexed="64"/>
      </bottom>
      <diagonal/>
    </border>
    <border>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medium">
        <color indexed="64"/>
      </top>
      <bottom/>
      <diagonal/>
    </border>
    <border>
      <left style="medium">
        <color indexed="64"/>
      </left>
      <right style="medium">
        <color indexed="64"/>
      </right>
      <top/>
      <bottom/>
      <diagonal/>
    </border>
    <border>
      <left style="medium">
        <color indexed="64"/>
      </left>
      <right style="thick">
        <color indexed="64"/>
      </right>
      <top/>
      <bottom/>
      <diagonal/>
    </border>
    <border>
      <left/>
      <right style="medium">
        <color indexed="64"/>
      </right>
      <top style="medium">
        <color indexed="64"/>
      </top>
      <bottom style="medium">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ck">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diagonal/>
    </border>
    <border>
      <left style="medium">
        <color indexed="64"/>
      </left>
      <right style="thick">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ck">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595">
    <xf numFmtId="0" fontId="0" fillId="0" borderId="0" xfId="0"/>
    <xf numFmtId="3" fontId="0" fillId="0" borderId="0" xfId="0" applyNumberFormat="1"/>
    <xf numFmtId="3" fontId="0" fillId="0" borderId="0" xfId="0" applyNumberFormat="1" applyAlignment="1">
      <alignment horizontal="center"/>
    </xf>
    <xf numFmtId="3" fontId="0" fillId="0" borderId="0" xfId="0" quotePrefix="1" applyNumberFormat="1" applyAlignment="1">
      <alignment horizontal="center"/>
    </xf>
    <xf numFmtId="3" fontId="0" fillId="0" borderId="0" xfId="0" quotePrefix="1" applyNumberFormat="1"/>
    <xf numFmtId="3" fontId="0" fillId="0" borderId="0" xfId="0" quotePrefix="1" applyNumberFormat="1" applyAlignment="1">
      <alignment horizontal="right"/>
    </xf>
    <xf numFmtId="3" fontId="2" fillId="0" borderId="0" xfId="0" applyNumberFormat="1" applyFont="1"/>
    <xf numFmtId="3" fontId="2" fillId="0" borderId="0" xfId="0" applyNumberFormat="1" applyFont="1" applyAlignment="1">
      <alignment wrapText="1"/>
    </xf>
    <xf numFmtId="9" fontId="0" fillId="0" borderId="0" xfId="0" applyNumberFormat="1" applyAlignment="1">
      <alignment horizontal="center"/>
    </xf>
    <xf numFmtId="3" fontId="0" fillId="0" borderId="1" xfId="0" applyNumberFormat="1" applyBorder="1"/>
    <xf numFmtId="3" fontId="2" fillId="0" borderId="0" xfId="0" applyNumberFormat="1" applyFont="1" applyAlignment="1">
      <alignment horizontal="center"/>
    </xf>
    <xf numFmtId="3" fontId="0" fillId="0" borderId="0" xfId="0" applyNumberFormat="1" applyBorder="1" applyAlignment="1">
      <alignment horizontal="center" vertical="center"/>
    </xf>
    <xf numFmtId="3" fontId="0" fillId="0" borderId="2" xfId="0" applyNumberFormat="1" applyBorder="1"/>
    <xf numFmtId="3" fontId="2" fillId="0" borderId="0" xfId="0" quotePrefix="1" applyNumberFormat="1" applyFont="1"/>
    <xf numFmtId="3" fontId="2" fillId="0" borderId="3" xfId="0" applyNumberFormat="1" applyFont="1" applyBorder="1"/>
    <xf numFmtId="3" fontId="0" fillId="0" borderId="4" xfId="0" applyNumberFormat="1" applyBorder="1"/>
    <xf numFmtId="3" fontId="0" fillId="0" borderId="5" xfId="0" applyNumberFormat="1" applyBorder="1"/>
    <xf numFmtId="3" fontId="0" fillId="0" borderId="0" xfId="0" applyNumberFormat="1" applyBorder="1"/>
    <xf numFmtId="3" fontId="0" fillId="0" borderId="0" xfId="0" applyNumberFormat="1" applyBorder="1" applyAlignment="1">
      <alignment horizontal="center"/>
    </xf>
    <xf numFmtId="3" fontId="0" fillId="0" borderId="6" xfId="0" applyNumberFormat="1" applyBorder="1" applyAlignment="1">
      <alignment horizontal="center"/>
    </xf>
    <xf numFmtId="3" fontId="0" fillId="0" borderId="6" xfId="0" applyNumberFormat="1" applyBorder="1"/>
    <xf numFmtId="3" fontId="0" fillId="0" borderId="7" xfId="0" applyNumberFormat="1" applyBorder="1"/>
    <xf numFmtId="3" fontId="0" fillId="0" borderId="8" xfId="0" applyNumberFormat="1" applyBorder="1"/>
    <xf numFmtId="3" fontId="2" fillId="0" borderId="9" xfId="0" applyNumberFormat="1" applyFont="1" applyBorder="1"/>
    <xf numFmtId="3" fontId="0" fillId="0" borderId="10" xfId="0" applyNumberFormat="1" applyBorder="1"/>
    <xf numFmtId="3" fontId="0" fillId="0" borderId="11" xfId="0" applyNumberFormat="1" applyBorder="1"/>
    <xf numFmtId="3" fontId="0" fillId="0" borderId="9" xfId="0" applyNumberFormat="1" applyBorder="1"/>
    <xf numFmtId="3" fontId="0" fillId="0" borderId="10" xfId="0" applyNumberFormat="1" applyBorder="1" applyAlignment="1">
      <alignment horizontal="center"/>
    </xf>
    <xf numFmtId="3" fontId="2" fillId="0" borderId="10" xfId="0" applyNumberFormat="1" applyFont="1" applyBorder="1" applyAlignment="1">
      <alignment wrapText="1"/>
    </xf>
    <xf numFmtId="3" fontId="0" fillId="0" borderId="12" xfId="0" applyNumberFormat="1" applyBorder="1"/>
    <xf numFmtId="3" fontId="2" fillId="0" borderId="4" xfId="0" applyNumberFormat="1" applyFont="1" applyBorder="1" applyAlignment="1">
      <alignment wrapText="1"/>
    </xf>
    <xf numFmtId="3" fontId="2" fillId="0" borderId="5" xfId="0" applyNumberFormat="1" applyFont="1" applyBorder="1" applyAlignment="1">
      <alignment wrapText="1"/>
    </xf>
    <xf numFmtId="3" fontId="2" fillId="0" borderId="13" xfId="0" applyNumberFormat="1" applyFont="1" applyBorder="1"/>
    <xf numFmtId="3" fontId="2" fillId="0" borderId="14" xfId="0" applyNumberFormat="1" applyFont="1" applyBorder="1" applyAlignment="1">
      <alignment wrapText="1"/>
    </xf>
    <xf numFmtId="3" fontId="0" fillId="0" borderId="15" xfId="0" applyNumberFormat="1" applyBorder="1"/>
    <xf numFmtId="3" fontId="0" fillId="0" borderId="16" xfId="0" applyNumberFormat="1" applyBorder="1"/>
    <xf numFmtId="3" fontId="3" fillId="0" borderId="5" xfId="0" applyNumberFormat="1" applyFont="1" applyBorder="1" applyAlignment="1">
      <alignment horizontal="left" vertical="center"/>
    </xf>
    <xf numFmtId="3" fontId="0" fillId="0" borderId="3" xfId="0" applyNumberFormat="1" applyBorder="1"/>
    <xf numFmtId="3" fontId="3" fillId="0" borderId="5" xfId="0" applyNumberFormat="1" applyFont="1" applyBorder="1"/>
    <xf numFmtId="3" fontId="2" fillId="0" borderId="17" xfId="0" applyNumberFormat="1" applyFont="1" applyBorder="1"/>
    <xf numFmtId="3" fontId="2" fillId="0" borderId="17" xfId="0" applyNumberFormat="1" applyFont="1" applyBorder="1" applyAlignment="1">
      <alignment wrapText="1"/>
    </xf>
    <xf numFmtId="3" fontId="13" fillId="0" borderId="0" xfId="0" applyNumberFormat="1" applyFont="1"/>
    <xf numFmtId="3" fontId="4" fillId="0" borderId="0" xfId="0" applyNumberFormat="1" applyFont="1"/>
    <xf numFmtId="3" fontId="2" fillId="0" borderId="0" xfId="0" applyNumberFormat="1" applyFont="1" applyBorder="1" applyAlignment="1">
      <alignment horizontal="center"/>
    </xf>
    <xf numFmtId="0" fontId="0" fillId="0" borderId="0" xfId="0" applyBorder="1" applyAlignment="1">
      <alignment horizontal="center"/>
    </xf>
    <xf numFmtId="3" fontId="2" fillId="0" borderId="0" xfId="0" applyNumberFormat="1" applyFont="1" applyBorder="1"/>
    <xf numFmtId="9" fontId="0" fillId="0" borderId="0" xfId="0" applyNumberFormat="1" applyBorder="1" applyAlignment="1">
      <alignment horizontal="center"/>
    </xf>
    <xf numFmtId="3" fontId="0" fillId="0" borderId="0" xfId="0" applyNumberFormat="1" applyFill="1" applyBorder="1" applyAlignment="1">
      <alignment horizontal="center"/>
    </xf>
    <xf numFmtId="3" fontId="0" fillId="0" borderId="0" xfId="0" applyNumberFormat="1" applyFill="1"/>
    <xf numFmtId="3" fontId="5" fillId="0" borderId="0" xfId="0" applyNumberFormat="1" applyFont="1" applyAlignment="1">
      <alignment horizontal="centerContinuous"/>
    </xf>
    <xf numFmtId="3" fontId="6" fillId="0" borderId="0" xfId="0" applyNumberFormat="1" applyFont="1" applyAlignment="1">
      <alignment horizontal="centerContinuous"/>
    </xf>
    <xf numFmtId="3" fontId="0" fillId="2" borderId="18" xfId="0" applyNumberFormat="1" applyFill="1" applyBorder="1"/>
    <xf numFmtId="3" fontId="0" fillId="2" borderId="19" xfId="0" applyNumberFormat="1" applyFill="1" applyBorder="1"/>
    <xf numFmtId="3" fontId="2" fillId="2" borderId="20" xfId="0" applyNumberFormat="1" applyFont="1" applyFill="1" applyBorder="1"/>
    <xf numFmtId="3" fontId="2" fillId="2" borderId="20" xfId="0" applyNumberFormat="1" applyFont="1" applyFill="1" applyBorder="1" applyAlignment="1">
      <alignment wrapText="1"/>
    </xf>
    <xf numFmtId="3" fontId="2" fillId="0" borderId="21" xfId="0" applyNumberFormat="1" applyFont="1" applyBorder="1" applyAlignment="1">
      <alignment wrapText="1"/>
    </xf>
    <xf numFmtId="3" fontId="5" fillId="0" borderId="22" xfId="0" applyNumberFormat="1" applyFont="1" applyBorder="1" applyAlignment="1">
      <alignment horizontal="center" vertical="center"/>
    </xf>
    <xf numFmtId="3" fontId="5" fillId="0" borderId="23" xfId="0" applyNumberFormat="1" applyFont="1" applyBorder="1" applyAlignment="1">
      <alignment vertical="center" wrapText="1"/>
    </xf>
    <xf numFmtId="3" fontId="8" fillId="0" borderId="0" xfId="0" applyNumberFormat="1" applyFont="1" applyBorder="1"/>
    <xf numFmtId="3" fontId="8" fillId="0" borderId="0" xfId="0" applyNumberFormat="1" applyFont="1"/>
    <xf numFmtId="3" fontId="2" fillId="0" borderId="21" xfId="0" applyNumberFormat="1" applyFont="1" applyBorder="1"/>
    <xf numFmtId="3" fontId="2" fillId="0" borderId="24" xfId="0" applyNumberFormat="1" applyFont="1" applyBorder="1"/>
    <xf numFmtId="3" fontId="0" fillId="0" borderId="25" xfId="0" applyNumberFormat="1" applyBorder="1"/>
    <xf numFmtId="3" fontId="2" fillId="0" borderId="4" xfId="0" applyNumberFormat="1" applyFont="1" applyBorder="1"/>
    <xf numFmtId="3" fontId="3" fillId="0" borderId="0" xfId="0" applyNumberFormat="1" applyFont="1" applyBorder="1" applyAlignment="1">
      <alignment horizontal="left" vertical="center"/>
    </xf>
    <xf numFmtId="3" fontId="2" fillId="0" borderId="0" xfId="0" applyNumberFormat="1" applyFont="1" applyBorder="1" applyAlignment="1">
      <alignment wrapText="1"/>
    </xf>
    <xf numFmtId="3" fontId="3" fillId="0" borderId="0" xfId="0" applyNumberFormat="1" applyFont="1" applyBorder="1"/>
    <xf numFmtId="0" fontId="0" fillId="0" borderId="0" xfId="0" applyBorder="1" applyAlignment="1"/>
    <xf numFmtId="0" fontId="0" fillId="0" borderId="0" xfId="0" applyBorder="1" applyAlignment="1">
      <alignment vertical="center"/>
    </xf>
    <xf numFmtId="3" fontId="0" fillId="0" borderId="0" xfId="0" applyNumberFormat="1" applyBorder="1" applyAlignment="1"/>
    <xf numFmtId="164" fontId="0" fillId="0" borderId="0" xfId="0" applyNumberFormat="1" applyBorder="1" applyAlignment="1">
      <alignment horizontal="center"/>
    </xf>
    <xf numFmtId="3" fontId="0" fillId="0" borderId="26" xfId="0" applyNumberFormat="1" applyBorder="1"/>
    <xf numFmtId="3" fontId="0" fillId="0" borderId="27" xfId="0" applyNumberFormat="1" applyBorder="1" applyAlignment="1">
      <alignment horizontal="center"/>
    </xf>
    <xf numFmtId="3" fontId="0" fillId="0" borderId="28" xfId="0" applyNumberFormat="1" applyBorder="1"/>
    <xf numFmtId="3" fontId="9" fillId="0" borderId="0" xfId="0" applyNumberFormat="1" applyFont="1"/>
    <xf numFmtId="0" fontId="0" fillId="0" borderId="0" xfId="0" applyAlignment="1">
      <alignment horizontal="center"/>
    </xf>
    <xf numFmtId="0" fontId="0" fillId="0" borderId="0" xfId="0" applyAlignment="1"/>
    <xf numFmtId="0" fontId="0" fillId="0" borderId="0" xfId="0" applyAlignment="1">
      <alignment horizontal="center" vertical="center"/>
    </xf>
    <xf numFmtId="0" fontId="0" fillId="0" borderId="0" xfId="0" applyBorder="1"/>
    <xf numFmtId="0" fontId="0" fillId="0" borderId="20" xfId="0" applyBorder="1" applyAlignment="1">
      <alignment horizontal="center" vertical="center"/>
    </xf>
    <xf numFmtId="0" fontId="1" fillId="0" borderId="20" xfId="0" applyFont="1" applyBorder="1" applyAlignment="1">
      <alignment wrapText="1"/>
    </xf>
    <xf numFmtId="0" fontId="1" fillId="0" borderId="20" xfId="0" applyFont="1" applyBorder="1"/>
    <xf numFmtId="0" fontId="0" fillId="0" borderId="29" xfId="0" applyBorder="1"/>
    <xf numFmtId="0" fontId="0" fillId="0" borderId="30" xfId="0" applyBorder="1"/>
    <xf numFmtId="0" fontId="0" fillId="0" borderId="19" xfId="0" applyBorder="1"/>
    <xf numFmtId="0" fontId="1" fillId="0" borderId="0" xfId="0" applyFont="1"/>
    <xf numFmtId="0" fontId="0" fillId="0" borderId="0" xfId="0" applyAlignment="1">
      <alignment horizontal="centerContinuous" vertical="center"/>
    </xf>
    <xf numFmtId="0" fontId="7" fillId="0" borderId="0" xfId="0" applyFont="1" applyAlignment="1">
      <alignment horizontal="centerContinuous"/>
    </xf>
    <xf numFmtId="0" fontId="0" fillId="0" borderId="0" xfId="0" applyAlignment="1">
      <alignment horizontal="centerContinuous"/>
    </xf>
    <xf numFmtId="0" fontId="6" fillId="0" borderId="0" xfId="0" applyFont="1"/>
    <xf numFmtId="3" fontId="1" fillId="0" borderId="0" xfId="0" applyNumberFormat="1" applyFont="1" applyAlignment="1">
      <alignment horizontal="center"/>
    </xf>
    <xf numFmtId="0" fontId="6" fillId="0" borderId="0" xfId="0" applyFont="1" applyAlignment="1">
      <alignment wrapText="1"/>
    </xf>
    <xf numFmtId="166" fontId="6" fillId="0" borderId="0" xfId="0" applyNumberFormat="1" applyFont="1" applyBorder="1" applyAlignment="1">
      <alignment wrapText="1"/>
    </xf>
    <xf numFmtId="3" fontId="1" fillId="2" borderId="31" xfId="0" applyNumberFormat="1" applyFont="1" applyFill="1" applyBorder="1"/>
    <xf numFmtId="3" fontId="5" fillId="0" borderId="0" xfId="0" applyNumberFormat="1" applyFont="1" applyBorder="1" applyAlignment="1">
      <alignment vertical="center"/>
    </xf>
    <xf numFmtId="3" fontId="5" fillId="0" borderId="0" xfId="0" applyNumberFormat="1" applyFont="1" applyBorder="1"/>
    <xf numFmtId="3" fontId="5" fillId="0" borderId="5" xfId="0" applyNumberFormat="1" applyFont="1" applyBorder="1"/>
    <xf numFmtId="3" fontId="5" fillId="0" borderId="10" xfId="0" applyNumberFormat="1" applyFont="1" applyBorder="1" applyAlignment="1">
      <alignment vertical="center" wrapText="1"/>
    </xf>
    <xf numFmtId="3" fontId="5" fillId="0" borderId="10" xfId="0" applyNumberFormat="1" applyFont="1" applyBorder="1" applyAlignment="1">
      <alignment wrapText="1"/>
    </xf>
    <xf numFmtId="3" fontId="6" fillId="0" borderId="0" xfId="0" applyNumberFormat="1" applyFont="1" applyAlignment="1"/>
    <xf numFmtId="3" fontId="0" fillId="2" borderId="18" xfId="0" applyNumberFormat="1" applyFill="1" applyBorder="1"/>
    <xf numFmtId="3" fontId="1" fillId="0" borderId="0" xfId="0" applyNumberFormat="1" applyFont="1" applyBorder="1" applyAlignment="1">
      <alignment horizontal="center" vertical="center"/>
    </xf>
    <xf numFmtId="3" fontId="1" fillId="0" borderId="0" xfId="0" applyNumberFormat="1" applyFont="1" applyAlignment="1">
      <alignment horizontal="centerContinuous"/>
    </xf>
    <xf numFmtId="0" fontId="14" fillId="0" borderId="0" xfId="0" applyFont="1"/>
    <xf numFmtId="0" fontId="0" fillId="0" borderId="0" xfId="0" applyBorder="1" applyAlignment="1">
      <alignment horizontal="centerContinuous"/>
    </xf>
    <xf numFmtId="3" fontId="0" fillId="0" borderId="0" xfId="0" applyNumberFormat="1" applyAlignment="1">
      <alignment horizontal="centerContinuous"/>
    </xf>
    <xf numFmtId="3" fontId="2" fillId="0" borderId="0" xfId="0" applyNumberFormat="1" applyFont="1" applyBorder="1" applyAlignment="1">
      <alignment horizontal="centerContinuous"/>
    </xf>
    <xf numFmtId="4" fontId="0" fillId="3" borderId="20" xfId="0" applyNumberFormat="1" applyFill="1" applyBorder="1" applyProtection="1">
      <protection locked="0"/>
    </xf>
    <xf numFmtId="167" fontId="0" fillId="3" borderId="20" xfId="0" applyNumberFormat="1" applyFill="1" applyBorder="1" applyAlignment="1" applyProtection="1">
      <alignment horizontal="center" vertical="center"/>
      <protection locked="0"/>
    </xf>
    <xf numFmtId="0" fontId="6" fillId="0" borderId="0" xfId="0" applyFont="1" applyAlignment="1">
      <alignment horizontal="center" vertical="center"/>
    </xf>
    <xf numFmtId="3" fontId="14" fillId="0" borderId="0" xfId="0" applyNumberFormat="1" applyFont="1" applyBorder="1" applyAlignment="1"/>
    <xf numFmtId="0" fontId="14" fillId="0" borderId="0" xfId="0" applyFont="1" applyAlignment="1"/>
    <xf numFmtId="3" fontId="0" fillId="3" borderId="19" xfId="0" applyNumberFormat="1" applyFill="1" applyBorder="1" applyAlignment="1" applyProtection="1">
      <alignment horizontal="center" vertical="center"/>
      <protection locked="0"/>
    </xf>
    <xf numFmtId="0" fontId="1" fillId="3" borderId="0" xfId="0" applyFont="1" applyFill="1"/>
    <xf numFmtId="0" fontId="0" fillId="3" borderId="0" xfId="0" applyFill="1"/>
    <xf numFmtId="0" fontId="1" fillId="4" borderId="0" xfId="0" applyFont="1" applyFill="1"/>
    <xf numFmtId="0" fontId="0" fillId="4" borderId="0" xfId="0" applyFill="1"/>
    <xf numFmtId="9" fontId="1" fillId="0" borderId="34" xfId="0" applyNumberFormat="1" applyFont="1" applyBorder="1" applyAlignment="1">
      <alignment horizontal="center" vertical="center" wrapText="1"/>
    </xf>
    <xf numFmtId="0" fontId="1" fillId="0" borderId="35"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0" xfId="0" applyBorder="1" applyAlignment="1">
      <alignment horizontal="center" vertical="center"/>
    </xf>
    <xf numFmtId="3" fontId="9" fillId="0" borderId="0" xfId="0" applyNumberFormat="1" applyFont="1" applyBorder="1"/>
    <xf numFmtId="3" fontId="6" fillId="0" borderId="0" xfId="0" applyNumberFormat="1" applyFont="1" applyBorder="1" applyAlignment="1">
      <alignment horizontal="centerContinuous"/>
    </xf>
    <xf numFmtId="3" fontId="1" fillId="0" borderId="0" xfId="0" applyNumberFormat="1" applyFont="1" applyBorder="1" applyAlignment="1">
      <alignment horizontal="center"/>
    </xf>
    <xf numFmtId="3" fontId="15" fillId="0" borderId="0" xfId="0" applyNumberFormat="1" applyFont="1" applyBorder="1" applyAlignment="1">
      <alignment horizontal="left"/>
    </xf>
    <xf numFmtId="0" fontId="15" fillId="0" borderId="0" xfId="0" applyFont="1" applyBorder="1" applyAlignment="1">
      <alignment horizontal="left"/>
    </xf>
    <xf numFmtId="165" fontId="0" fillId="0" borderId="31" xfId="0" applyNumberFormat="1" applyBorder="1" applyAlignment="1" applyProtection="1">
      <alignment horizontal="center"/>
      <protection hidden="1"/>
    </xf>
    <xf numFmtId="3" fontId="2" fillId="0" borderId="10" xfId="0" quotePrefix="1" applyNumberFormat="1" applyFont="1" applyBorder="1" applyAlignment="1" applyProtection="1">
      <alignment horizontal="center"/>
      <protection hidden="1"/>
    </xf>
    <xf numFmtId="164" fontId="0" fillId="0" borderId="1" xfId="0" applyNumberFormat="1" applyBorder="1" applyAlignment="1" applyProtection="1">
      <alignment horizontal="center" vertical="center"/>
      <protection hidden="1"/>
    </xf>
    <xf numFmtId="3" fontId="14" fillId="0" borderId="0" xfId="0" applyNumberFormat="1" applyFont="1" applyProtection="1">
      <protection hidden="1"/>
    </xf>
    <xf numFmtId="0" fontId="14" fillId="0" borderId="0" xfId="0" applyFont="1" applyProtection="1">
      <protection hidden="1"/>
    </xf>
    <xf numFmtId="166" fontId="14" fillId="0" borderId="19" xfId="0" applyNumberFormat="1" applyFont="1" applyBorder="1" applyProtection="1">
      <protection hidden="1"/>
    </xf>
    <xf numFmtId="9" fontId="13" fillId="0" borderId="20" xfId="0" applyNumberFormat="1" applyFont="1" applyBorder="1" applyAlignment="1" applyProtection="1">
      <alignment horizontal="center" vertical="center" wrapText="1"/>
      <protection hidden="1"/>
    </xf>
    <xf numFmtId="3" fontId="13" fillId="0" borderId="20" xfId="0" applyNumberFormat="1" applyFont="1" applyBorder="1" applyAlignment="1" applyProtection="1">
      <alignment horizontal="center" vertical="center" wrapText="1"/>
      <protection hidden="1"/>
    </xf>
    <xf numFmtId="166" fontId="0" fillId="0" borderId="32" xfId="0" applyNumberFormat="1" applyBorder="1" applyAlignment="1" applyProtection="1">
      <alignment horizontal="center" vertical="center"/>
      <protection hidden="1"/>
    </xf>
    <xf numFmtId="0" fontId="0" fillId="0" borderId="0" xfId="0" applyBorder="1" applyProtection="1">
      <protection hidden="1"/>
    </xf>
    <xf numFmtId="0" fontId="0" fillId="0" borderId="37" xfId="0" applyBorder="1" applyProtection="1">
      <protection hidden="1"/>
    </xf>
    <xf numFmtId="3" fontId="1" fillId="0" borderId="0" xfId="0" applyNumberFormat="1" applyFont="1" applyAlignment="1">
      <alignment horizontal="left"/>
    </xf>
    <xf numFmtId="0" fontId="1" fillId="0" borderId="20" xfId="0" applyFont="1" applyBorder="1" applyAlignment="1">
      <alignment horizontal="center" vertical="center"/>
    </xf>
    <xf numFmtId="0" fontId="16" fillId="0" borderId="0" xfId="0" applyFont="1"/>
    <xf numFmtId="3" fontId="0" fillId="0" borderId="0" xfId="0" applyNumberFormat="1" applyBorder="1" applyAlignment="1" applyProtection="1">
      <alignment horizontal="center" vertical="center"/>
    </xf>
    <xf numFmtId="3" fontId="0" fillId="0" borderId="6" xfId="0" applyNumberFormat="1" applyBorder="1" applyProtection="1"/>
    <xf numFmtId="0" fontId="0" fillId="0" borderId="0" xfId="0" applyBorder="1" applyAlignment="1" applyProtection="1">
      <alignment horizontal="center"/>
    </xf>
    <xf numFmtId="0" fontId="1" fillId="0" borderId="0" xfId="0" applyFont="1" applyFill="1" applyBorder="1" applyAlignment="1" applyProtection="1">
      <alignment horizontal="center"/>
    </xf>
    <xf numFmtId="0" fontId="0" fillId="0" borderId="0" xfId="0" applyAlignment="1" applyProtection="1">
      <alignment horizontal="centerContinuous"/>
    </xf>
    <xf numFmtId="0" fontId="0" fillId="0" borderId="0" xfId="0" applyProtection="1"/>
    <xf numFmtId="3" fontId="16" fillId="0" borderId="0" xfId="0" applyNumberFormat="1" applyFont="1" applyBorder="1" applyAlignment="1" applyProtection="1">
      <alignment horizontal="left"/>
      <protection hidden="1"/>
    </xf>
    <xf numFmtId="3" fontId="0" fillId="0" borderId="31" xfId="0" applyNumberFormat="1" applyBorder="1" applyAlignment="1">
      <alignment horizontal="center"/>
    </xf>
    <xf numFmtId="0" fontId="6" fillId="0" borderId="0" xfId="0" applyFont="1" applyAlignment="1">
      <alignment horizontal="centerContinuous"/>
    </xf>
    <xf numFmtId="3" fontId="12" fillId="0" borderId="0" xfId="0" applyNumberFormat="1" applyFont="1" applyAlignment="1">
      <alignment horizontal="centerContinuous"/>
    </xf>
    <xf numFmtId="0" fontId="7" fillId="0" borderId="0" xfId="0" applyFont="1" applyAlignment="1">
      <alignment horizontal="centerContinuous" vertical="center"/>
    </xf>
    <xf numFmtId="9" fontId="0" fillId="0" borderId="6" xfId="0" applyNumberFormat="1" applyBorder="1" applyAlignment="1">
      <alignment horizontal="center"/>
    </xf>
    <xf numFmtId="3" fontId="0" fillId="0" borderId="38" xfId="0" applyNumberFormat="1" applyBorder="1" applyAlignment="1">
      <alignment horizontal="center"/>
    </xf>
    <xf numFmtId="3" fontId="0" fillId="0" borderId="39" xfId="0" applyNumberFormat="1" applyBorder="1" applyAlignment="1">
      <alignment horizontal="center"/>
    </xf>
    <xf numFmtId="3" fontId="0" fillId="0" borderId="40" xfId="0" applyNumberFormat="1" applyBorder="1" applyAlignment="1">
      <alignment horizontal="center"/>
    </xf>
    <xf numFmtId="3" fontId="0" fillId="0" borderId="41" xfId="0" applyNumberFormat="1" applyBorder="1"/>
    <xf numFmtId="165" fontId="0" fillId="0" borderId="40" xfId="0" applyNumberFormat="1" applyBorder="1" applyAlignment="1">
      <alignment horizontal="center"/>
    </xf>
    <xf numFmtId="3" fontId="5" fillId="0" borderId="31" xfId="0" applyNumberFormat="1" applyFont="1" applyBorder="1" applyAlignment="1">
      <alignment horizontal="left" vertical="center" wrapText="1"/>
    </xf>
    <xf numFmtId="0" fontId="0" fillId="0" borderId="33" xfId="0" applyBorder="1" applyAlignment="1">
      <alignment horizontal="left"/>
    </xf>
    <xf numFmtId="3" fontId="5" fillId="0" borderId="20" xfId="0" applyNumberFormat="1" applyFont="1" applyBorder="1" applyAlignment="1">
      <alignment vertical="center" wrapText="1"/>
    </xf>
    <xf numFmtId="0" fontId="0" fillId="0" borderId="42" xfId="0" applyBorder="1" applyAlignment="1">
      <alignment horizontal="center" vertical="center"/>
    </xf>
    <xf numFmtId="3" fontId="16" fillId="0" borderId="0" xfId="0" applyNumberFormat="1" applyFont="1" applyProtection="1">
      <protection hidden="1"/>
    </xf>
    <xf numFmtId="0" fontId="1" fillId="0" borderId="0" xfId="0" applyFont="1" applyAlignment="1">
      <alignment wrapText="1"/>
    </xf>
    <xf numFmtId="0" fontId="1" fillId="0" borderId="31" xfId="0" applyFont="1" applyBorder="1" applyAlignment="1">
      <alignment horizontal="centerContinuous" vertical="center"/>
    </xf>
    <xf numFmtId="0" fontId="0" fillId="0" borderId="18" xfId="0" applyBorder="1" applyAlignment="1">
      <alignment horizontal="centerContinuous" vertical="center"/>
    </xf>
    <xf numFmtId="0" fontId="0" fillId="0" borderId="19" xfId="0" applyBorder="1" applyAlignment="1">
      <alignment horizontal="centerContinuous"/>
    </xf>
    <xf numFmtId="0" fontId="0" fillId="0" borderId="31" xfId="0" applyBorder="1"/>
    <xf numFmtId="0" fontId="1" fillId="0" borderId="18" xfId="0" quotePrefix="1" applyFont="1" applyBorder="1"/>
    <xf numFmtId="3" fontId="0" fillId="0" borderId="19" xfId="0" applyNumberFormat="1" applyBorder="1"/>
    <xf numFmtId="3" fontId="0" fillId="0" borderId="31" xfId="0" applyNumberFormat="1" applyBorder="1"/>
    <xf numFmtId="3" fontId="0" fillId="0" borderId="20" xfId="0" applyNumberFormat="1" applyBorder="1"/>
    <xf numFmtId="0" fontId="0" fillId="0" borderId="19" xfId="0" applyBorder="1" applyAlignment="1">
      <alignment horizontal="centerContinuous" vertical="center"/>
    </xf>
    <xf numFmtId="0" fontId="1" fillId="0" borderId="18" xfId="0" applyFont="1" applyBorder="1" applyAlignment="1">
      <alignment horizontal="centerContinuous" vertical="center"/>
    </xf>
    <xf numFmtId="0" fontId="1" fillId="0" borderId="20" xfId="0" applyFont="1" applyBorder="1" applyAlignment="1">
      <alignment vertical="center"/>
    </xf>
    <xf numFmtId="165" fontId="0" fillId="0" borderId="18" xfId="0" applyNumberFormat="1" applyBorder="1" applyAlignment="1" applyProtection="1">
      <alignment horizontal="center"/>
      <protection hidden="1"/>
    </xf>
    <xf numFmtId="165" fontId="0" fillId="0" borderId="19" xfId="0" applyNumberFormat="1" applyBorder="1" applyAlignment="1" applyProtection="1">
      <alignment horizontal="center"/>
      <protection hidden="1"/>
    </xf>
    <xf numFmtId="165" fontId="0" fillId="0" borderId="18" xfId="0" applyNumberFormat="1" applyFill="1" applyBorder="1" applyAlignment="1" applyProtection="1">
      <alignment horizontal="center"/>
      <protection hidden="1"/>
    </xf>
    <xf numFmtId="165" fontId="0" fillId="0" borderId="19" xfId="0" applyNumberFormat="1" applyFill="1" applyBorder="1" applyAlignment="1" applyProtection="1">
      <alignment horizontal="center"/>
      <protection hidden="1"/>
    </xf>
    <xf numFmtId="3" fontId="0" fillId="0" borderId="0" xfId="0" applyNumberFormat="1" applyAlignment="1">
      <alignment horizontal="center" vertical="center"/>
    </xf>
    <xf numFmtId="3" fontId="6" fillId="0" borderId="0" xfId="0" applyNumberFormat="1" applyFont="1" applyAlignment="1">
      <alignment horizontal="center" vertical="center"/>
    </xf>
    <xf numFmtId="3" fontId="0" fillId="0" borderId="6" xfId="0" applyNumberFormat="1" applyBorder="1" applyAlignment="1">
      <alignment horizontal="center" vertical="center"/>
    </xf>
    <xf numFmtId="165" fontId="1" fillId="0" borderId="18" xfId="0" quotePrefix="1" applyNumberFormat="1" applyFont="1" applyBorder="1" applyAlignment="1" applyProtection="1">
      <alignment horizontal="center"/>
      <protection hidden="1"/>
    </xf>
    <xf numFmtId="165" fontId="1" fillId="0" borderId="18" xfId="0" quotePrefix="1" applyNumberFormat="1" applyFont="1" applyFill="1" applyBorder="1" applyAlignment="1" applyProtection="1">
      <alignment horizontal="center"/>
      <protection hidden="1"/>
    </xf>
    <xf numFmtId="165" fontId="1" fillId="0" borderId="31" xfId="0" applyNumberFormat="1" applyFont="1" applyBorder="1" applyAlignment="1">
      <alignment horizontal="right"/>
    </xf>
    <xf numFmtId="8" fontId="0" fillId="0" borderId="0" xfId="0" applyNumberFormat="1"/>
    <xf numFmtId="0" fontId="14" fillId="0" borderId="0" xfId="0" applyFont="1" applyAlignment="1">
      <alignment horizontal="left" vertical="center"/>
    </xf>
    <xf numFmtId="0" fontId="1" fillId="0" borderId="0" xfId="0" applyFont="1" applyBorder="1" applyAlignment="1">
      <alignment horizontal="right"/>
    </xf>
    <xf numFmtId="0" fontId="17"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vertical="center"/>
    </xf>
    <xf numFmtId="0" fontId="17" fillId="0" borderId="0" xfId="0" applyFont="1" applyAlignment="1">
      <alignment horizontal="centerContinuous" vertical="center"/>
    </xf>
    <xf numFmtId="0" fontId="21" fillId="0" borderId="0" xfId="0" applyFont="1"/>
    <xf numFmtId="0" fontId="21" fillId="0" borderId="0" xfId="0" applyFont="1" applyAlignment="1">
      <alignment vertical="center"/>
    </xf>
    <xf numFmtId="0" fontId="21" fillId="0" borderId="0" xfId="0" applyFont="1" applyAlignment="1">
      <alignment horizontal="left" vertical="center" indent="4"/>
    </xf>
    <xf numFmtId="0" fontId="23" fillId="0" borderId="0" xfId="0" applyFont="1" applyAlignment="1">
      <alignment vertical="center"/>
    </xf>
    <xf numFmtId="0" fontId="22" fillId="0" borderId="0" xfId="0" applyFont="1" applyAlignment="1">
      <alignment vertical="center"/>
    </xf>
    <xf numFmtId="0" fontId="18" fillId="0" borderId="0" xfId="0" applyFont="1" applyAlignment="1">
      <alignment horizontal="center"/>
    </xf>
    <xf numFmtId="9" fontId="1" fillId="0" borderId="64" xfId="0" applyNumberFormat="1" applyFont="1" applyBorder="1" applyAlignment="1">
      <alignment horizontal="center" vertical="center" wrapText="1"/>
    </xf>
    <xf numFmtId="0" fontId="1" fillId="0" borderId="65" xfId="0" applyFont="1" applyBorder="1" applyAlignment="1">
      <alignment horizontal="center" vertical="center" wrapText="1"/>
    </xf>
    <xf numFmtId="0" fontId="0" fillId="0" borderId="66" xfId="0" applyBorder="1" applyAlignment="1">
      <alignment horizontal="center" vertical="center"/>
    </xf>
    <xf numFmtId="0" fontId="1" fillId="0" borderId="66" xfId="0" applyFont="1" applyBorder="1" applyAlignment="1">
      <alignment horizontal="center" vertical="center"/>
    </xf>
    <xf numFmtId="0" fontId="0" fillId="0" borderId="67" xfId="0" applyBorder="1"/>
    <xf numFmtId="166" fontId="0" fillId="0" borderId="68" xfId="0" applyNumberFormat="1" applyBorder="1" applyAlignment="1" applyProtection="1">
      <alignment horizontal="center" vertical="center"/>
      <protection hidden="1"/>
    </xf>
    <xf numFmtId="166" fontId="0" fillId="0" borderId="70" xfId="0" applyNumberFormat="1" applyBorder="1" applyAlignment="1" applyProtection="1">
      <alignment horizontal="center" vertical="center"/>
      <protection hidden="1"/>
    </xf>
    <xf numFmtId="166" fontId="0" fillId="0" borderId="69" xfId="0" applyNumberFormat="1" applyBorder="1" applyAlignment="1" applyProtection="1">
      <alignment horizontal="center" vertical="center"/>
      <protection hidden="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1" xfId="0" applyBorder="1" applyAlignment="1">
      <alignment horizontal="center" vertical="center"/>
    </xf>
    <xf numFmtId="0" fontId="1" fillId="0" borderId="72" xfId="0" applyFont="1" applyBorder="1" applyAlignment="1">
      <alignment horizontal="center" vertical="center" wrapText="1"/>
    </xf>
    <xf numFmtId="0" fontId="1" fillId="3" borderId="73" xfId="0" applyFont="1" applyFill="1" applyBorder="1" applyAlignment="1" applyProtection="1">
      <alignment horizontal="center" vertical="center"/>
      <protection locked="0"/>
    </xf>
    <xf numFmtId="0" fontId="1" fillId="3" borderId="74" xfId="0" applyFont="1" applyFill="1" applyBorder="1" applyAlignment="1" applyProtection="1">
      <alignment horizontal="center" vertical="center"/>
      <protection locked="0"/>
    </xf>
    <xf numFmtId="166" fontId="0" fillId="0" borderId="0" xfId="0" applyNumberFormat="1" applyBorder="1" applyAlignment="1">
      <alignment horizontal="center"/>
    </xf>
    <xf numFmtId="0" fontId="0" fillId="0" borderId="75" xfId="0" applyBorder="1" applyAlignment="1">
      <alignment horizontal="center" vertical="center"/>
    </xf>
    <xf numFmtId="0" fontId="0" fillId="0" borderId="76" xfId="0" applyBorder="1"/>
    <xf numFmtId="166" fontId="0" fillId="0" borderId="76" xfId="0" applyNumberFormat="1" applyBorder="1" applyAlignment="1" applyProtection="1">
      <alignment horizontal="center" vertical="center"/>
      <protection hidden="1"/>
    </xf>
    <xf numFmtId="166" fontId="0" fillId="0" borderId="77" xfId="0" applyNumberFormat="1" applyBorder="1" applyAlignment="1" applyProtection="1">
      <alignment horizontal="center" vertical="center"/>
      <protection hidden="1"/>
    </xf>
    <xf numFmtId="0" fontId="0" fillId="0" borderId="63" xfId="0" applyBorder="1"/>
    <xf numFmtId="3" fontId="1" fillId="0" borderId="0" xfId="0" applyNumberFormat="1" applyFont="1" applyBorder="1"/>
    <xf numFmtId="0" fontId="4" fillId="0" borderId="0" xfId="0" applyFont="1"/>
    <xf numFmtId="0" fontId="1" fillId="0" borderId="0" xfId="0" applyFont="1" applyBorder="1" applyAlignment="1" applyProtection="1">
      <alignment horizontal="center" vertical="center"/>
    </xf>
    <xf numFmtId="0" fontId="1" fillId="0" borderId="33" xfId="0" applyFont="1" applyBorder="1" applyAlignment="1">
      <alignment horizontal="center" vertical="center"/>
    </xf>
    <xf numFmtId="0" fontId="1" fillId="0" borderId="61" xfId="0" applyFont="1" applyBorder="1" applyAlignment="1">
      <alignment horizontal="center" vertical="center"/>
    </xf>
    <xf numFmtId="0" fontId="1" fillId="0" borderId="0" xfId="0" applyFont="1" applyFill="1"/>
    <xf numFmtId="0" fontId="0" fillId="0" borderId="0" xfId="0" applyFill="1"/>
    <xf numFmtId="0" fontId="21" fillId="0" borderId="27" xfId="0" applyFont="1" applyBorder="1"/>
    <xf numFmtId="3" fontId="1" fillId="0" borderId="0" xfId="0" applyNumberFormat="1" applyFont="1" applyProtection="1">
      <protection locked="0"/>
    </xf>
    <xf numFmtId="3" fontId="1" fillId="0" borderId="15" xfId="0" applyNumberFormat="1" applyFont="1" applyBorder="1" applyAlignment="1">
      <alignment wrapText="1"/>
    </xf>
    <xf numFmtId="3" fontId="0" fillId="0" borderId="2" xfId="0" applyNumberFormat="1" applyBorder="1" applyAlignment="1">
      <alignment horizontal="center"/>
    </xf>
    <xf numFmtId="0" fontId="1" fillId="3" borderId="81" xfId="0" applyFont="1" applyFill="1" applyBorder="1" applyAlignment="1" applyProtection="1">
      <alignment horizontal="center" vertical="center"/>
      <protection locked="0"/>
    </xf>
    <xf numFmtId="0" fontId="1" fillId="0" borderId="85" xfId="0" applyFont="1" applyBorder="1" applyAlignment="1">
      <alignment horizontal="left" vertical="center" wrapText="1"/>
    </xf>
    <xf numFmtId="0" fontId="1" fillId="0" borderId="84" xfId="0" applyFont="1" applyBorder="1" applyAlignment="1">
      <alignment horizontal="left" vertical="center" wrapText="1"/>
    </xf>
    <xf numFmtId="0" fontId="1" fillId="5" borderId="0" xfId="0" applyFont="1" applyFill="1"/>
    <xf numFmtId="0" fontId="0" fillId="5" borderId="0" xfId="0" applyFill="1"/>
    <xf numFmtId="0" fontId="0" fillId="0" borderId="0" xfId="0" applyAlignment="1">
      <alignment horizontal="center" vertical="center"/>
    </xf>
    <xf numFmtId="0" fontId="0" fillId="0" borderId="0" xfId="0" applyBorder="1" applyAlignment="1">
      <alignment horizontal="center"/>
    </xf>
    <xf numFmtId="0" fontId="0" fillId="0" borderId="0" xfId="0" applyAlignment="1"/>
    <xf numFmtId="0" fontId="0" fillId="0" borderId="20" xfId="0" applyBorder="1" applyAlignment="1">
      <alignment horizontal="center" vertical="center"/>
    </xf>
    <xf numFmtId="0" fontId="0" fillId="0" borderId="4" xfId="0" applyBorder="1" applyAlignment="1"/>
    <xf numFmtId="0" fontId="0" fillId="0" borderId="0" xfId="0" applyAlignment="1"/>
    <xf numFmtId="166" fontId="0" fillId="0" borderId="0" xfId="0" applyNumberFormat="1"/>
    <xf numFmtId="3" fontId="16" fillId="0" borderId="0" xfId="0" applyNumberFormat="1" applyFont="1" applyBorder="1" applyAlignment="1">
      <alignment horizontal="left"/>
    </xf>
    <xf numFmtId="3" fontId="1" fillId="0" borderId="0" xfId="0" applyNumberFormat="1" applyFont="1" applyAlignment="1">
      <alignment horizontal="center" vertical="center"/>
    </xf>
    <xf numFmtId="3" fontId="1" fillId="0" borderId="4" xfId="0" applyNumberFormat="1" applyFont="1" applyBorder="1"/>
    <xf numFmtId="9" fontId="13" fillId="0" borderId="20" xfId="0" applyNumberFormat="1" applyFont="1" applyFill="1" applyBorder="1" applyAlignment="1" applyProtection="1">
      <alignment horizontal="center" vertical="center" wrapText="1"/>
      <protection hidden="1"/>
    </xf>
    <xf numFmtId="1" fontId="13" fillId="0" borderId="0" xfId="0" applyNumberFormat="1" applyFont="1" applyFill="1" applyBorder="1" applyAlignment="1" applyProtection="1">
      <alignment horizontal="center" vertical="center" wrapText="1"/>
      <protection hidden="1"/>
    </xf>
    <xf numFmtId="3" fontId="0" fillId="0" borderId="31" xfId="0" applyNumberFormat="1" applyBorder="1" applyAlignment="1">
      <alignment horizontal="center"/>
    </xf>
    <xf numFmtId="165" fontId="0" fillId="0" borderId="18" xfId="0" applyNumberFormat="1" applyFill="1" applyBorder="1" applyAlignment="1" applyProtection="1">
      <alignment horizontal="center"/>
      <protection hidden="1"/>
    </xf>
    <xf numFmtId="165" fontId="0" fillId="0" borderId="19" xfId="0" applyNumberFormat="1" applyFill="1" applyBorder="1" applyAlignment="1" applyProtection="1">
      <alignment horizontal="center"/>
      <protection hidden="1"/>
    </xf>
    <xf numFmtId="165" fontId="0" fillId="0" borderId="18" xfId="0" applyNumberFormat="1" applyBorder="1" applyAlignment="1" applyProtection="1">
      <alignment horizontal="center"/>
      <protection hidden="1"/>
    </xf>
    <xf numFmtId="165" fontId="0" fillId="0" borderId="19" xfId="0" applyNumberFormat="1" applyBorder="1" applyAlignment="1" applyProtection="1">
      <alignment horizontal="center"/>
      <protection hidden="1"/>
    </xf>
    <xf numFmtId="0" fontId="0" fillId="0" borderId="0" xfId="0" applyBorder="1" applyAlignment="1">
      <alignment horizontal="center"/>
    </xf>
    <xf numFmtId="3" fontId="2" fillId="0" borderId="0" xfId="0" applyNumberFormat="1" applyFont="1" applyBorder="1" applyAlignment="1">
      <alignment horizontal="center"/>
    </xf>
    <xf numFmtId="0" fontId="0" fillId="0" borderId="0" xfId="0" applyAlignment="1">
      <alignment horizontal="center"/>
    </xf>
    <xf numFmtId="0" fontId="16" fillId="0" borderId="0" xfId="0" applyFont="1" applyBorder="1" applyAlignment="1">
      <alignment horizontal="left" vertical="center"/>
    </xf>
    <xf numFmtId="0" fontId="16" fillId="0" borderId="0" xfId="0" applyFont="1" applyProtection="1">
      <protection hidden="1"/>
    </xf>
    <xf numFmtId="0" fontId="6" fillId="0" borderId="0" xfId="0" applyFont="1" applyAlignment="1">
      <alignment horizontal="center"/>
    </xf>
    <xf numFmtId="0" fontId="6" fillId="0" borderId="0" xfId="0" applyFont="1" applyAlignment="1">
      <alignment horizontal="center" wrapText="1"/>
    </xf>
    <xf numFmtId="0" fontId="1" fillId="0" borderId="0" xfId="0" applyFont="1" applyAlignment="1">
      <alignment horizontal="center"/>
    </xf>
    <xf numFmtId="0" fontId="1" fillId="3" borderId="20" xfId="0" applyFont="1" applyFill="1" applyBorder="1" applyAlignment="1" applyProtection="1">
      <alignment horizontal="center"/>
      <protection locked="0"/>
    </xf>
    <xf numFmtId="0" fontId="0" fillId="3" borderId="20" xfId="0" applyFill="1" applyBorder="1" applyAlignment="1" applyProtection="1">
      <alignment horizontal="center"/>
      <protection locked="0"/>
    </xf>
    <xf numFmtId="3" fontId="1" fillId="3" borderId="1" xfId="0" applyNumberFormat="1" applyFont="1" applyFill="1" applyBorder="1" applyAlignment="1" applyProtection="1">
      <alignment horizontal="center" vertical="center"/>
      <protection locked="0"/>
    </xf>
    <xf numFmtId="3" fontId="1" fillId="3" borderId="20" xfId="0" applyNumberFormat="1" applyFont="1" applyFill="1" applyBorder="1" applyAlignment="1" applyProtection="1">
      <alignment horizontal="center" vertical="center" wrapText="1"/>
      <protection locked="0" hidden="1"/>
    </xf>
    <xf numFmtId="0" fontId="16" fillId="0" borderId="0" xfId="0" applyFont="1" applyBorder="1" applyAlignment="1">
      <alignment horizontal="center"/>
    </xf>
    <xf numFmtId="0" fontId="14" fillId="0" borderId="0" xfId="0" applyFont="1" applyBorder="1" applyAlignment="1">
      <alignment horizontal="center"/>
    </xf>
    <xf numFmtId="3" fontId="6" fillId="0" borderId="0" xfId="0" applyNumberFormat="1" applyFont="1" applyBorder="1" applyAlignment="1">
      <alignment horizontal="center"/>
    </xf>
    <xf numFmtId="0" fontId="0" fillId="0" borderId="0" xfId="0" applyAlignment="1" applyProtection="1">
      <alignment horizontal="center"/>
    </xf>
    <xf numFmtId="39" fontId="1" fillId="0" borderId="0" xfId="1" applyNumberFormat="1" applyFont="1"/>
    <xf numFmtId="14" fontId="21" fillId="0" borderId="2" xfId="0" applyNumberFormat="1" applyFont="1" applyBorder="1" applyAlignment="1" applyProtection="1">
      <alignment horizontal="center"/>
      <protection locked="0"/>
    </xf>
    <xf numFmtId="14" fontId="21" fillId="0" borderId="0" xfId="0" applyNumberFormat="1" applyFont="1" applyAlignment="1" applyProtection="1">
      <alignment horizontal="left"/>
      <protection locked="0"/>
    </xf>
    <xf numFmtId="0" fontId="21" fillId="0" borderId="0" xfId="0" applyFont="1" applyAlignment="1">
      <alignment horizontal="right"/>
    </xf>
    <xf numFmtId="166" fontId="0" fillId="3" borderId="2" xfId="0" applyNumberFormat="1" applyFill="1" applyBorder="1" applyAlignment="1" applyProtection="1">
      <protection locked="0"/>
    </xf>
    <xf numFmtId="3" fontId="27" fillId="0" borderId="2" xfId="0" applyNumberFormat="1" applyFont="1" applyBorder="1" applyAlignment="1" applyProtection="1">
      <protection locked="0"/>
    </xf>
    <xf numFmtId="0" fontId="0" fillId="0" borderId="1" xfId="0" applyBorder="1" applyAlignment="1">
      <alignment horizontal="center" vertical="center"/>
    </xf>
    <xf numFmtId="0" fontId="13" fillId="0" borderId="0" xfId="0" applyNumberFormat="1" applyFont="1" applyBorder="1" applyAlignment="1" applyProtection="1">
      <alignment vertical="center" wrapText="1"/>
      <protection hidden="1"/>
    </xf>
    <xf numFmtId="0" fontId="1" fillId="0" borderId="4" xfId="0" applyFont="1" applyBorder="1" applyAlignment="1">
      <alignment horizontal="center"/>
    </xf>
    <xf numFmtId="3" fontId="13" fillId="0" borderId="1" xfId="0" applyNumberFormat="1" applyFont="1" applyBorder="1" applyAlignment="1" applyProtection="1">
      <alignment horizontal="center" vertical="center" wrapText="1"/>
      <protection hidden="1"/>
    </xf>
    <xf numFmtId="0" fontId="1" fillId="0" borderId="20" xfId="0" applyFont="1" applyBorder="1" applyAlignment="1">
      <alignment horizontal="center" vertical="center" wrapText="1"/>
    </xf>
    <xf numFmtId="0" fontId="1" fillId="0" borderId="30" xfId="0" applyFont="1" applyFill="1" applyBorder="1" applyAlignment="1" applyProtection="1">
      <alignment horizontal="center"/>
    </xf>
    <xf numFmtId="0" fontId="0" fillId="0" borderId="0" xfId="0" applyBorder="1" applyAlignment="1" applyProtection="1">
      <alignment horizontal="center"/>
      <protection hidden="1"/>
    </xf>
    <xf numFmtId="0" fontId="0" fillId="0" borderId="0" xfId="0" applyProtection="1">
      <protection hidden="1"/>
    </xf>
    <xf numFmtId="3" fontId="2" fillId="0" borderId="0" xfId="0" applyNumberFormat="1" applyFont="1" applyBorder="1" applyAlignment="1" applyProtection="1">
      <alignment horizontal="center"/>
      <protection hidden="1"/>
    </xf>
    <xf numFmtId="3" fontId="0" fillId="0" borderId="0" xfId="0" applyNumberFormat="1" applyProtection="1">
      <protection hidden="1"/>
    </xf>
    <xf numFmtId="0" fontId="1" fillId="0" borderId="0" xfId="0" applyFont="1" applyFill="1" applyBorder="1" applyAlignment="1" applyProtection="1">
      <alignment horizontal="center"/>
      <protection hidden="1"/>
    </xf>
    <xf numFmtId="3" fontId="15" fillId="0" borderId="0" xfId="0" applyNumberFormat="1" applyFont="1" applyProtection="1">
      <protection hidden="1"/>
    </xf>
    <xf numFmtId="0" fontId="1" fillId="0" borderId="0" xfId="0" applyFont="1" applyProtection="1">
      <protection hidden="1"/>
    </xf>
    <xf numFmtId="3" fontId="14" fillId="0" borderId="0" xfId="0" applyNumberFormat="1" applyFont="1" applyAlignment="1" applyProtection="1">
      <alignment horizontal="left"/>
      <protection hidden="1"/>
    </xf>
    <xf numFmtId="0" fontId="14" fillId="0" borderId="0" xfId="0" applyFont="1" applyAlignment="1" applyProtection="1">
      <alignment horizontal="left" vertical="center"/>
      <protection hidden="1"/>
    </xf>
    <xf numFmtId="166" fontId="0" fillId="0" borderId="0" xfId="0" applyNumberFormat="1" applyBorder="1" applyAlignment="1" applyProtection="1">
      <alignment horizontal="center"/>
      <protection hidden="1"/>
    </xf>
    <xf numFmtId="0" fontId="1" fillId="0" borderId="60" xfId="0" applyFont="1" applyBorder="1" applyAlignment="1">
      <alignment horizontal="left" vertical="center" wrapText="1"/>
    </xf>
    <xf numFmtId="0" fontId="1" fillId="0" borderId="70" xfId="0" applyFont="1" applyBorder="1" applyAlignment="1">
      <alignment horizontal="left" vertical="center" wrapText="1"/>
    </xf>
    <xf numFmtId="3" fontId="1" fillId="0" borderId="14" xfId="0" applyNumberFormat="1" applyFont="1" applyBorder="1" applyAlignment="1">
      <alignment wrapText="1"/>
    </xf>
    <xf numFmtId="3" fontId="1" fillId="3" borderId="86" xfId="0" applyNumberFormat="1" applyFont="1" applyFill="1" applyBorder="1" applyProtection="1">
      <protection locked="0"/>
    </xf>
    <xf numFmtId="3" fontId="2" fillId="3" borderId="86" xfId="0" applyNumberFormat="1" applyFont="1" applyFill="1" applyBorder="1" applyProtection="1">
      <protection locked="0"/>
    </xf>
    <xf numFmtId="0" fontId="1" fillId="3" borderId="0" xfId="0" applyFont="1" applyFill="1" applyAlignment="1" applyProtection="1">
      <alignment horizontal="center"/>
      <protection locked="0"/>
    </xf>
    <xf numFmtId="0" fontId="13" fillId="0" borderId="0" xfId="0" applyFont="1"/>
    <xf numFmtId="0" fontId="28" fillId="0" borderId="0" xfId="0" applyFont="1"/>
    <xf numFmtId="0" fontId="1" fillId="6" borderId="0" xfId="0" applyFont="1" applyFill="1"/>
    <xf numFmtId="0" fontId="0" fillId="6" borderId="0" xfId="0" applyFill="1"/>
    <xf numFmtId="165" fontId="0" fillId="7" borderId="60" xfId="0" applyNumberFormat="1" applyFill="1" applyBorder="1" applyAlignment="1" applyProtection="1">
      <alignment horizontal="center" vertical="center"/>
      <protection locked="0"/>
    </xf>
    <xf numFmtId="165" fontId="0" fillId="7" borderId="78" xfId="0" applyNumberFormat="1" applyFill="1" applyBorder="1" applyAlignment="1" applyProtection="1">
      <alignment horizontal="center" vertical="center"/>
      <protection locked="0"/>
    </xf>
    <xf numFmtId="165" fontId="1" fillId="7" borderId="60" xfId="0" applyNumberFormat="1" applyFont="1" applyFill="1" applyBorder="1" applyAlignment="1" applyProtection="1">
      <alignment horizontal="center" vertical="center"/>
      <protection locked="0"/>
    </xf>
    <xf numFmtId="165" fontId="1" fillId="7" borderId="83" xfId="0" applyNumberFormat="1" applyFont="1" applyFill="1" applyBorder="1" applyAlignment="1" applyProtection="1">
      <alignment horizontal="center" vertical="center"/>
      <protection locked="0"/>
    </xf>
    <xf numFmtId="165" fontId="0" fillId="7" borderId="70" xfId="0" applyNumberFormat="1" applyFill="1" applyBorder="1" applyAlignment="1" applyProtection="1">
      <alignment horizontal="center" vertical="center"/>
      <protection locked="0"/>
    </xf>
    <xf numFmtId="165" fontId="0" fillId="6" borderId="60" xfId="0" applyNumberFormat="1" applyFill="1" applyBorder="1" applyAlignment="1" applyProtection="1">
      <alignment horizontal="center" vertical="center"/>
      <protection locked="0"/>
    </xf>
    <xf numFmtId="165" fontId="0" fillId="6" borderId="78" xfId="0" applyNumberFormat="1" applyFill="1" applyBorder="1" applyAlignment="1" applyProtection="1">
      <alignment horizontal="center" vertical="center"/>
      <protection locked="0"/>
    </xf>
    <xf numFmtId="165" fontId="1" fillId="6" borderId="60" xfId="0" applyNumberFormat="1" applyFont="1" applyFill="1" applyBorder="1" applyAlignment="1" applyProtection="1">
      <alignment horizontal="center" vertical="center"/>
      <protection locked="0"/>
    </xf>
    <xf numFmtId="165" fontId="1" fillId="6" borderId="83" xfId="0" applyNumberFormat="1" applyFont="1" applyFill="1" applyBorder="1" applyAlignment="1" applyProtection="1">
      <alignment horizontal="center" vertical="center"/>
      <protection locked="0"/>
    </xf>
    <xf numFmtId="165" fontId="0" fillId="6" borderId="70" xfId="0" applyNumberFormat="1" applyFill="1" applyBorder="1" applyAlignment="1" applyProtection="1">
      <alignment horizontal="center" vertical="center"/>
      <protection locked="0"/>
    </xf>
    <xf numFmtId="0" fontId="8" fillId="0" borderId="0" xfId="0" applyFont="1"/>
    <xf numFmtId="0" fontId="1" fillId="8" borderId="0" xfId="0" applyFont="1" applyFill="1" applyAlignment="1">
      <alignment wrapText="1"/>
    </xf>
    <xf numFmtId="3" fontId="16" fillId="0" borderId="1" xfId="0" applyNumberFormat="1" applyFont="1" applyBorder="1" applyAlignment="1">
      <alignment horizontal="center" vertical="center" wrapText="1"/>
    </xf>
    <xf numFmtId="3" fontId="1" fillId="0" borderId="0" xfId="0" applyNumberFormat="1" applyFont="1"/>
    <xf numFmtId="3" fontId="1" fillId="0" borderId="0" xfId="0" applyNumberFormat="1" applyFont="1" applyBorder="1" applyAlignment="1"/>
    <xf numFmtId="0" fontId="0" fillId="0" borderId="0" xfId="0" applyAlignment="1"/>
    <xf numFmtId="3" fontId="2" fillId="0" borderId="0" xfId="0" applyNumberFormat="1" applyFont="1" applyBorder="1" applyAlignment="1">
      <alignment horizontal="center"/>
    </xf>
    <xf numFmtId="0" fontId="0" fillId="0" borderId="0" xfId="0" applyBorder="1" applyAlignment="1">
      <alignment horizontal="center"/>
    </xf>
    <xf numFmtId="3" fontId="1" fillId="3" borderId="1" xfId="0" applyNumberFormat="1" applyFont="1" applyFill="1" applyBorder="1" applyProtection="1">
      <protection locked="0"/>
    </xf>
    <xf numFmtId="14" fontId="16" fillId="0" borderId="1" xfId="0" applyNumberFormat="1" applyFont="1" applyBorder="1" applyAlignment="1">
      <alignment horizontal="center" vertical="center" wrapText="1"/>
    </xf>
    <xf numFmtId="0" fontId="0" fillId="0" borderId="1" xfId="0" applyBorder="1" applyAlignment="1">
      <alignment wrapText="1"/>
    </xf>
    <xf numFmtId="14" fontId="0" fillId="3" borderId="1" xfId="0" applyNumberFormat="1" applyFill="1" applyBorder="1" applyAlignment="1" applyProtection="1">
      <protection locked="0"/>
    </xf>
    <xf numFmtId="0" fontId="0" fillId="0" borderId="1" xfId="0" applyBorder="1" applyAlignment="1" applyProtection="1">
      <protection locked="0"/>
    </xf>
    <xf numFmtId="3" fontId="1" fillId="0" borderId="38" xfId="0" applyNumberFormat="1" applyFont="1" applyFill="1" applyBorder="1" applyAlignment="1">
      <alignment horizontal="center"/>
    </xf>
    <xf numFmtId="0" fontId="0" fillId="0" borderId="39" xfId="0" applyBorder="1" applyAlignment="1">
      <alignment horizontal="center"/>
    </xf>
    <xf numFmtId="3" fontId="1" fillId="0" borderId="31" xfId="0" applyNumberFormat="1" applyFont="1" applyBorder="1" applyAlignment="1">
      <alignment horizontal="center"/>
    </xf>
    <xf numFmtId="0" fontId="0" fillId="0" borderId="40" xfId="0" applyBorder="1" applyAlignment="1">
      <alignment horizontal="center"/>
    </xf>
    <xf numFmtId="3" fontId="1" fillId="0" borderId="41" xfId="0" applyNumberFormat="1" applyFont="1" applyBorder="1" applyAlignment="1">
      <alignment horizontal="center"/>
    </xf>
    <xf numFmtId="0" fontId="0" fillId="0" borderId="54" xfId="0" applyBorder="1" applyAlignment="1">
      <alignment horizontal="center"/>
    </xf>
    <xf numFmtId="3" fontId="0" fillId="0" borderId="31" xfId="0" applyNumberFormat="1" applyBorder="1" applyAlignment="1">
      <alignment horizontal="center" vertical="center"/>
    </xf>
    <xf numFmtId="0" fontId="0" fillId="0" borderId="40" xfId="0" applyBorder="1" applyAlignment="1">
      <alignment horizontal="center" vertical="center"/>
    </xf>
    <xf numFmtId="4" fontId="5" fillId="0" borderId="31" xfId="0" applyNumberFormat="1" applyFont="1" applyBorder="1" applyAlignment="1">
      <alignment horizontal="center" vertical="center"/>
    </xf>
    <xf numFmtId="4" fontId="5" fillId="0" borderId="18" xfId="0" applyNumberFormat="1" applyFont="1" applyBorder="1" applyAlignment="1">
      <alignment horizontal="center" vertical="center"/>
    </xf>
    <xf numFmtId="4" fontId="5" fillId="0" borderId="19" xfId="0" applyNumberFormat="1" applyFont="1" applyBorder="1" applyAlignment="1">
      <alignment horizontal="center" vertical="center"/>
    </xf>
    <xf numFmtId="9" fontId="0" fillId="0" borderId="41" xfId="0" applyNumberFormat="1" applyBorder="1" applyAlignment="1">
      <alignment horizontal="center"/>
    </xf>
    <xf numFmtId="0" fontId="0" fillId="0" borderId="25" xfId="0" applyBorder="1" applyAlignment="1"/>
    <xf numFmtId="0" fontId="0" fillId="0" borderId="12" xfId="0" applyBorder="1" applyAlignment="1"/>
    <xf numFmtId="0" fontId="0" fillId="0" borderId="38" xfId="0" applyBorder="1" applyAlignment="1"/>
    <xf numFmtId="0" fontId="0" fillId="0" borderId="52" xfId="0" applyBorder="1" applyAlignment="1"/>
    <xf numFmtId="3" fontId="0" fillId="0" borderId="31" xfId="0" applyNumberFormat="1" applyBorder="1" applyAlignment="1">
      <alignment horizontal="center"/>
    </xf>
    <xf numFmtId="0" fontId="0" fillId="0" borderId="18" xfId="0" applyBorder="1" applyAlignment="1"/>
    <xf numFmtId="0" fontId="0" fillId="0" borderId="31" xfId="0" applyFill="1" applyBorder="1" applyAlignment="1">
      <alignment horizontal="center"/>
    </xf>
    <xf numFmtId="0" fontId="0" fillId="0" borderId="18" xfId="0" applyFill="1" applyBorder="1" applyAlignment="1">
      <alignment horizontal="center"/>
    </xf>
    <xf numFmtId="168" fontId="0" fillId="4" borderId="31" xfId="0" applyNumberFormat="1" applyFill="1" applyBorder="1" applyAlignment="1" applyProtection="1">
      <alignment horizontal="center"/>
      <protection locked="0"/>
    </xf>
    <xf numFmtId="168" fontId="0" fillId="4" borderId="18" xfId="0" applyNumberFormat="1" applyFill="1" applyBorder="1" applyAlignment="1" applyProtection="1">
      <protection locked="0"/>
    </xf>
    <xf numFmtId="168" fontId="0" fillId="0" borderId="19" xfId="0" applyNumberFormat="1" applyBorder="1" applyAlignment="1" applyProtection="1">
      <protection locked="0"/>
    </xf>
    <xf numFmtId="168" fontId="0" fillId="0" borderId="38" xfId="0" applyNumberFormat="1" applyBorder="1" applyAlignment="1">
      <alignment horizontal="center"/>
    </xf>
    <xf numFmtId="168" fontId="0" fillId="0" borderId="52" xfId="0" applyNumberFormat="1" applyBorder="1" applyAlignment="1"/>
    <xf numFmtId="168" fontId="0" fillId="0" borderId="53" xfId="0" applyNumberFormat="1" applyBorder="1" applyAlignment="1"/>
    <xf numFmtId="165" fontId="5" fillId="0" borderId="31" xfId="0" applyNumberFormat="1" applyFont="1" applyBorder="1" applyAlignment="1" applyProtection="1">
      <alignment horizontal="center" vertical="center"/>
      <protection hidden="1"/>
    </xf>
    <xf numFmtId="0" fontId="0" fillId="0" borderId="18" xfId="0" applyBorder="1" applyAlignment="1">
      <alignment vertical="center"/>
    </xf>
    <xf numFmtId="0" fontId="0" fillId="0" borderId="19" xfId="0" applyBorder="1" applyAlignment="1">
      <alignment vertical="center"/>
    </xf>
    <xf numFmtId="4" fontId="5" fillId="0" borderId="31" xfId="0" applyNumberFormat="1" applyFont="1" applyBorder="1" applyAlignment="1" applyProtection="1">
      <alignment horizontal="center" vertical="center" wrapText="1"/>
      <protection hidden="1"/>
    </xf>
    <xf numFmtId="0" fontId="5" fillId="0" borderId="18" xfId="0" applyFont="1" applyBorder="1" applyAlignment="1" applyProtection="1">
      <alignment vertical="center" wrapText="1"/>
      <protection hidden="1"/>
    </xf>
    <xf numFmtId="0" fontId="5" fillId="0" borderId="19" xfId="0" applyFont="1" applyBorder="1" applyAlignment="1" applyProtection="1">
      <alignment vertical="center" wrapText="1"/>
      <protection hidden="1"/>
    </xf>
    <xf numFmtId="0" fontId="0" fillId="0" borderId="53" xfId="0" applyBorder="1" applyAlignment="1"/>
    <xf numFmtId="165" fontId="0" fillId="0" borderId="18" xfId="0" applyNumberFormat="1" applyFill="1" applyBorder="1" applyAlignment="1" applyProtection="1">
      <alignment horizontal="center"/>
      <protection hidden="1"/>
    </xf>
    <xf numFmtId="165" fontId="0" fillId="0" borderId="19" xfId="0" applyNumberFormat="1" applyFill="1" applyBorder="1" applyAlignment="1" applyProtection="1">
      <alignment horizontal="center"/>
      <protection hidden="1"/>
    </xf>
    <xf numFmtId="168" fontId="0" fillId="4" borderId="18" xfId="0" applyNumberFormat="1" applyFill="1" applyBorder="1" applyAlignment="1">
      <alignment horizontal="center"/>
    </xf>
    <xf numFmtId="168" fontId="0" fillId="4" borderId="19" xfId="0" applyNumberFormat="1" applyFill="1" applyBorder="1" applyAlignment="1">
      <alignment horizontal="center"/>
    </xf>
    <xf numFmtId="3" fontId="5" fillId="0" borderId="31" xfId="0" applyNumberFormat="1" applyFont="1" applyBorder="1" applyAlignment="1">
      <alignment vertical="center"/>
    </xf>
    <xf numFmtId="3" fontId="5" fillId="0" borderId="31" xfId="0" applyNumberFormat="1" applyFont="1" applyBorder="1" applyAlignment="1" applyProtection="1">
      <alignment horizontal="center" vertical="center"/>
      <protection hidden="1"/>
    </xf>
    <xf numFmtId="0" fontId="0" fillId="0" borderId="18" xfId="0" applyBorder="1" applyAlignment="1">
      <alignment horizontal="center" vertical="center"/>
    </xf>
    <xf numFmtId="0" fontId="0" fillId="0" borderId="19" xfId="0" applyBorder="1" applyAlignment="1"/>
    <xf numFmtId="3" fontId="2" fillId="3" borderId="46" xfId="0" applyNumberFormat="1" applyFont="1" applyFill="1" applyBorder="1" applyAlignment="1" applyProtection="1">
      <alignment horizontal="center" vertical="center" wrapText="1"/>
      <protection locked="0"/>
    </xf>
    <xf numFmtId="0" fontId="0" fillId="3" borderId="46" xfId="0" applyFill="1" applyBorder="1" applyAlignment="1" applyProtection="1">
      <alignment horizontal="center" vertical="center"/>
      <protection locked="0"/>
    </xf>
    <xf numFmtId="0" fontId="0" fillId="0" borderId="25" xfId="0" applyBorder="1" applyAlignment="1">
      <alignment horizontal="center"/>
    </xf>
    <xf numFmtId="0" fontId="0" fillId="0" borderId="12" xfId="0" applyBorder="1" applyAlignment="1">
      <alignment horizontal="center"/>
    </xf>
    <xf numFmtId="0" fontId="0" fillId="3" borderId="55" xfId="0"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3" fontId="1" fillId="3" borderId="1" xfId="0" applyNumberFormat="1" applyFont="1" applyFill="1" applyBorder="1" applyAlignment="1" applyProtection="1">
      <alignment horizontal="center" wrapText="1"/>
      <protection locked="0"/>
    </xf>
    <xf numFmtId="3" fontId="2" fillId="3" borderId="1" xfId="0" applyNumberFormat="1" applyFont="1" applyFill="1" applyBorder="1" applyAlignment="1" applyProtection="1">
      <alignment horizontal="center" wrapText="1"/>
      <protection locked="0"/>
    </xf>
    <xf numFmtId="1" fontId="1" fillId="3" borderId="1" xfId="0" applyNumberFormat="1" applyFont="1" applyFill="1" applyBorder="1" applyAlignment="1" applyProtection="1">
      <alignment horizontal="center" wrapText="1"/>
      <protection locked="0"/>
    </xf>
    <xf numFmtId="1" fontId="2" fillId="3" borderId="1" xfId="0" applyNumberFormat="1" applyFont="1" applyFill="1" applyBorder="1" applyAlignment="1" applyProtection="1">
      <alignment horizontal="center" wrapText="1"/>
      <protection locked="0"/>
    </xf>
    <xf numFmtId="3" fontId="2" fillId="0" borderId="4" xfId="0" applyNumberFormat="1" applyFont="1" applyBorder="1" applyAlignment="1">
      <alignment horizontal="center"/>
    </xf>
    <xf numFmtId="0" fontId="0" fillId="3" borderId="80" xfId="0" applyFill="1" applyBorder="1" applyAlignment="1" applyProtection="1">
      <alignment horizontal="center" vertical="center"/>
      <protection locked="0"/>
    </xf>
    <xf numFmtId="3" fontId="2" fillId="0" borderId="44" xfId="0" applyNumberFormat="1" applyFont="1" applyBorder="1" applyAlignment="1">
      <alignment horizontal="center" vertical="center"/>
    </xf>
    <xf numFmtId="0" fontId="0" fillId="0" borderId="44" xfId="0" applyBorder="1" applyAlignment="1"/>
    <xf numFmtId="0" fontId="0" fillId="0" borderId="45" xfId="0" applyBorder="1" applyAlignment="1"/>
    <xf numFmtId="3" fontId="2" fillId="0" borderId="44" xfId="0" applyNumberFormat="1" applyFont="1" applyBorder="1" applyAlignment="1">
      <alignment horizontal="center" vertical="center" wrapText="1"/>
    </xf>
    <xf numFmtId="3" fontId="2" fillId="3" borderId="55"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3" fontId="27" fillId="0" borderId="2" xfId="0" applyNumberFormat="1" applyFont="1" applyBorder="1" applyAlignment="1" applyProtection="1">
      <protection locked="0"/>
    </xf>
    <xf numFmtId="3" fontId="0" fillId="0" borderId="38" xfId="0" applyNumberFormat="1" applyBorder="1" applyAlignment="1"/>
    <xf numFmtId="3" fontId="0" fillId="0" borderId="31" xfId="0" applyNumberFormat="1" applyFill="1" applyBorder="1" applyAlignment="1">
      <alignment horizontal="center"/>
    </xf>
    <xf numFmtId="0" fontId="0" fillId="0" borderId="19" xfId="0" applyFill="1" applyBorder="1" applyAlignment="1">
      <alignment horizontal="center"/>
    </xf>
    <xf numFmtId="165" fontId="0" fillId="5" borderId="31" xfId="0" applyNumberFormat="1" applyFill="1" applyBorder="1" applyAlignment="1" applyProtection="1">
      <alignment horizontal="center" vertical="center"/>
      <protection locked="0"/>
    </xf>
    <xf numFmtId="165" fontId="0" fillId="5" borderId="18" xfId="0" applyNumberFormat="1" applyFill="1" applyBorder="1" applyAlignment="1" applyProtection="1">
      <protection locked="0"/>
    </xf>
    <xf numFmtId="165" fontId="0" fillId="5" borderId="19" xfId="0" applyNumberFormat="1" applyFill="1" applyBorder="1" applyAlignment="1" applyProtection="1">
      <protection locked="0"/>
    </xf>
    <xf numFmtId="3" fontId="1" fillId="3" borderId="80" xfId="0" applyNumberFormat="1" applyFont="1" applyFill="1" applyBorder="1" applyAlignment="1" applyProtection="1">
      <alignment horizontal="center" vertical="center"/>
      <protection locked="0"/>
    </xf>
    <xf numFmtId="3" fontId="0" fillId="0" borderId="23" xfId="0" applyNumberFormat="1" applyBorder="1" applyAlignment="1" applyProtection="1">
      <alignment horizontal="center"/>
      <protection hidden="1"/>
    </xf>
    <xf numFmtId="0" fontId="0" fillId="0" borderId="22" xfId="0" applyBorder="1" applyAlignment="1" applyProtection="1">
      <protection hidden="1"/>
    </xf>
    <xf numFmtId="0" fontId="0" fillId="0" borderId="51" xfId="0" applyBorder="1" applyAlignment="1" applyProtection="1">
      <protection hidden="1"/>
    </xf>
    <xf numFmtId="3" fontId="5" fillId="0" borderId="22" xfId="0" applyNumberFormat="1" applyFont="1" applyBorder="1" applyAlignment="1" applyProtection="1">
      <alignment horizontal="center" vertical="center"/>
      <protection hidden="1"/>
    </xf>
    <xf numFmtId="0" fontId="0" fillId="0" borderId="22" xfId="0" applyBorder="1" applyAlignment="1" applyProtection="1">
      <alignment vertical="center"/>
      <protection hidden="1"/>
    </xf>
    <xf numFmtId="0" fontId="0" fillId="0" borderId="51" xfId="0" applyBorder="1" applyAlignment="1" applyProtection="1">
      <alignment vertical="center"/>
      <protection hidden="1"/>
    </xf>
    <xf numFmtId="3" fontId="16" fillId="0" borderId="1" xfId="0" applyNumberFormat="1" applyFont="1" applyBorder="1" applyAlignment="1" applyProtection="1">
      <alignment horizontal="center" wrapText="1"/>
      <protection hidden="1"/>
    </xf>
    <xf numFmtId="3" fontId="5" fillId="0" borderId="31" xfId="0" applyNumberFormat="1" applyFont="1" applyBorder="1" applyAlignment="1">
      <alignment wrapText="1"/>
    </xf>
    <xf numFmtId="0" fontId="5" fillId="0" borderId="18" xfId="0" applyFont="1" applyBorder="1" applyAlignment="1"/>
    <xf numFmtId="0" fontId="5" fillId="0" borderId="19" xfId="0" applyFont="1" applyBorder="1" applyAlignment="1"/>
    <xf numFmtId="168" fontId="0" fillId="0" borderId="52" xfId="0" applyNumberFormat="1" applyBorder="1" applyAlignment="1">
      <alignment horizontal="center"/>
    </xf>
    <xf numFmtId="168" fontId="0" fillId="0" borderId="53" xfId="0" applyNumberFormat="1" applyBorder="1" applyAlignment="1">
      <alignment horizontal="center"/>
    </xf>
    <xf numFmtId="3" fontId="5" fillId="0" borderId="31" xfId="0" applyNumberFormat="1" applyFont="1" applyBorder="1" applyAlignment="1" applyProtection="1">
      <alignment horizontal="center" vertical="center" wrapText="1"/>
      <protection hidden="1"/>
    </xf>
    <xf numFmtId="0" fontId="5" fillId="0" borderId="18" xfId="0" applyFont="1" applyBorder="1" applyAlignment="1" applyProtection="1">
      <alignment wrapText="1"/>
      <protection hidden="1"/>
    </xf>
    <xf numFmtId="0" fontId="5" fillId="0" borderId="19" xfId="0" applyFont="1" applyBorder="1" applyAlignment="1" applyProtection="1">
      <alignment wrapText="1"/>
      <protection hidden="1"/>
    </xf>
    <xf numFmtId="165" fontId="0" fillId="5" borderId="18" xfId="0" applyNumberFormat="1" applyFill="1" applyBorder="1" applyAlignment="1" applyProtection="1">
      <alignment horizontal="center"/>
      <protection locked="0"/>
    </xf>
    <xf numFmtId="165" fontId="0" fillId="5" borderId="19" xfId="0" applyNumberFormat="1" applyFill="1" applyBorder="1" applyAlignment="1" applyProtection="1">
      <alignment horizontal="center"/>
      <protection locked="0"/>
    </xf>
    <xf numFmtId="165" fontId="0" fillId="0" borderId="18" xfId="0" applyNumberFormat="1" applyBorder="1" applyAlignment="1" applyProtection="1">
      <alignment horizontal="center"/>
      <protection hidden="1"/>
    </xf>
    <xf numFmtId="165" fontId="0" fillId="0" borderId="19" xfId="0" applyNumberFormat="1" applyBorder="1" applyAlignment="1" applyProtection="1">
      <alignment horizontal="center"/>
      <protection hidden="1"/>
    </xf>
    <xf numFmtId="3" fontId="16" fillId="0" borderId="1" xfId="0" applyNumberFormat="1" applyFont="1" applyBorder="1" applyAlignment="1" applyProtection="1">
      <alignment horizontal="center" vertical="center" wrapText="1"/>
      <protection hidden="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 fillId="0" borderId="0" xfId="0" applyNumberFormat="1" applyFont="1" applyBorder="1" applyAlignment="1"/>
    <xf numFmtId="0" fontId="0" fillId="0" borderId="0" xfId="0" applyAlignment="1"/>
    <xf numFmtId="9" fontId="5" fillId="0" borderId="31" xfId="0" applyNumberFormat="1" applyFont="1" applyBorder="1" applyAlignment="1" applyProtection="1">
      <alignment horizontal="center" vertical="center" wrapText="1"/>
      <protection hidden="1"/>
    </xf>
    <xf numFmtId="0" fontId="5" fillId="0" borderId="18" xfId="0" applyFont="1" applyBorder="1" applyAlignment="1" applyProtection="1">
      <protection hidden="1"/>
    </xf>
    <xf numFmtId="0" fontId="5" fillId="0" borderId="19" xfId="0" applyFont="1" applyBorder="1" applyAlignment="1" applyProtection="1">
      <protection hidden="1"/>
    </xf>
    <xf numFmtId="3" fontId="5" fillId="0" borderId="23" xfId="0" applyNumberFormat="1" applyFont="1" applyBorder="1" applyAlignment="1">
      <alignment horizontal="right" vertical="center" wrapText="1"/>
    </xf>
    <xf numFmtId="0" fontId="0" fillId="0" borderId="22" xfId="0" applyBorder="1" applyAlignment="1">
      <alignment vertical="center" wrapText="1"/>
    </xf>
    <xf numFmtId="165" fontId="0" fillId="0" borderId="31" xfId="0" applyNumberFormat="1" applyBorder="1" applyAlignment="1" applyProtection="1">
      <alignment horizontal="center" vertical="center"/>
      <protection hidden="1"/>
    </xf>
    <xf numFmtId="165" fontId="0" fillId="0" borderId="18" xfId="0" applyNumberFormat="1" applyBorder="1" applyAlignment="1" applyProtection="1">
      <alignment horizontal="center" vertical="center"/>
      <protection hidden="1"/>
    </xf>
    <xf numFmtId="165" fontId="0" fillId="0" borderId="19" xfId="0" applyNumberFormat="1" applyBorder="1" applyAlignment="1" applyProtection="1">
      <alignment horizontal="center" vertical="center"/>
      <protection hidden="1"/>
    </xf>
    <xf numFmtId="0" fontId="0" fillId="0" borderId="36" xfId="0" applyFill="1" applyBorder="1" applyAlignment="1">
      <alignment horizontal="center"/>
    </xf>
    <xf numFmtId="9" fontId="5" fillId="0" borderId="22" xfId="0" applyNumberFormat="1" applyFont="1" applyBorder="1" applyAlignment="1" applyProtection="1">
      <alignment horizontal="left" vertical="center" wrapText="1"/>
      <protection hidden="1"/>
    </xf>
    <xf numFmtId="0" fontId="0" fillId="3" borderId="47" xfId="0" applyFill="1" applyBorder="1" applyAlignment="1" applyProtection="1">
      <alignment horizontal="center" vertical="center"/>
      <protection locked="0"/>
    </xf>
    <xf numFmtId="0" fontId="5" fillId="0" borderId="18" xfId="0" applyFont="1" applyBorder="1" applyAlignment="1">
      <alignment wrapText="1"/>
    </xf>
    <xf numFmtId="0" fontId="0" fillId="0" borderId="19" xfId="0" applyBorder="1" applyAlignment="1">
      <alignment wrapText="1"/>
    </xf>
    <xf numFmtId="3" fontId="2" fillId="0" borderId="45" xfId="0" applyNumberFormat="1" applyFont="1" applyBorder="1" applyAlignment="1">
      <alignment horizontal="center" vertical="center" wrapText="1"/>
    </xf>
    <xf numFmtId="0" fontId="0" fillId="0" borderId="48" xfId="0" applyBorder="1" applyAlignment="1"/>
    <xf numFmtId="3" fontId="2" fillId="0" borderId="49" xfId="0" applyNumberFormat="1" applyFont="1" applyBorder="1" applyAlignment="1">
      <alignment horizontal="center"/>
    </xf>
    <xf numFmtId="0" fontId="0" fillId="0" borderId="49" xfId="0" applyBorder="1" applyAlignment="1"/>
    <xf numFmtId="0" fontId="0" fillId="0" borderId="50" xfId="0" applyBorder="1" applyAlignment="1"/>
    <xf numFmtId="14" fontId="0" fillId="3" borderId="0" xfId="0" applyNumberFormat="1" applyFill="1" applyBorder="1" applyAlignment="1" applyProtection="1">
      <alignment horizontal="center"/>
      <protection locked="0" hidden="1"/>
    </xf>
    <xf numFmtId="14" fontId="0" fillId="3" borderId="0" xfId="0" applyNumberFormat="1" applyFill="1" applyAlignment="1" applyProtection="1">
      <protection locked="0" hidden="1"/>
    </xf>
    <xf numFmtId="0" fontId="0" fillId="0" borderId="4" xfId="0" applyBorder="1" applyAlignment="1"/>
    <xf numFmtId="3" fontId="2" fillId="0" borderId="31" xfId="0" applyNumberFormat="1" applyFont="1" applyBorder="1" applyAlignment="1">
      <alignment wrapText="1"/>
    </xf>
    <xf numFmtId="0" fontId="0" fillId="0" borderId="18" xfId="0" applyBorder="1" applyAlignment="1">
      <alignment wrapText="1"/>
    </xf>
    <xf numFmtId="166" fontId="5" fillId="0" borderId="31" xfId="0" applyNumberFormat="1" applyFont="1" applyBorder="1" applyAlignment="1" applyProtection="1">
      <alignment horizontal="center" vertical="center"/>
      <protection hidden="1"/>
    </xf>
    <xf numFmtId="0" fontId="0" fillId="3" borderId="79" xfId="0" applyFill="1" applyBorder="1" applyAlignment="1" applyProtection="1">
      <alignment horizontal="center" vertical="center"/>
      <protection locked="0"/>
    </xf>
    <xf numFmtId="3" fontId="0" fillId="0" borderId="22" xfId="0" applyNumberFormat="1" applyBorder="1" applyAlignment="1" applyProtection="1">
      <alignment horizontal="center"/>
      <protection hidden="1"/>
    </xf>
    <xf numFmtId="0" fontId="0" fillId="0" borderId="43" xfId="0" applyBorder="1" applyAlignment="1" applyProtection="1">
      <protection hidden="1"/>
    </xf>
    <xf numFmtId="14" fontId="0" fillId="0" borderId="0" xfId="0" applyNumberFormat="1" applyBorder="1" applyAlignment="1" applyProtection="1">
      <alignment horizontal="center"/>
      <protection hidden="1"/>
    </xf>
    <xf numFmtId="14" fontId="0" fillId="0" borderId="0" xfId="0" applyNumberFormat="1" applyAlignment="1" applyProtection="1">
      <alignment horizontal="center"/>
      <protection hidden="1"/>
    </xf>
    <xf numFmtId="0" fontId="0" fillId="0" borderId="4" xfId="0" applyBorder="1" applyAlignment="1">
      <alignment horizontal="center"/>
    </xf>
    <xf numFmtId="3" fontId="1" fillId="0" borderId="4" xfId="0" applyNumberFormat="1" applyFont="1" applyBorder="1" applyAlignment="1">
      <alignment horizontal="center"/>
    </xf>
    <xf numFmtId="3" fontId="13" fillId="0" borderId="1" xfId="0" applyNumberFormat="1"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1" fontId="13" fillId="0" borderId="1" xfId="0" applyNumberFormat="1" applyFont="1" applyFill="1" applyBorder="1" applyAlignment="1" applyProtection="1">
      <alignment horizontal="center" vertical="center" wrapText="1"/>
      <protection hidden="1"/>
    </xf>
    <xf numFmtId="0" fontId="0" fillId="0" borderId="2" xfId="0" applyBorder="1" applyAlignment="1"/>
    <xf numFmtId="14" fontId="0" fillId="0" borderId="0" xfId="0" applyNumberFormat="1" applyBorder="1" applyAlignment="1" applyProtection="1">
      <alignment horizontal="center"/>
      <protection locked="0"/>
    </xf>
    <xf numFmtId="14" fontId="0" fillId="0" borderId="0" xfId="0" applyNumberFormat="1" applyAlignment="1" applyProtection="1">
      <alignment horizontal="center"/>
      <protection locked="0"/>
    </xf>
    <xf numFmtId="168" fontId="0" fillId="0" borderId="31" xfId="0" applyNumberFormat="1" applyFill="1" applyBorder="1" applyAlignment="1" applyProtection="1">
      <alignment horizontal="center"/>
    </xf>
    <xf numFmtId="168" fontId="0" fillId="0" borderId="18" xfId="0" applyNumberFormat="1" applyFill="1" applyBorder="1" applyAlignment="1" applyProtection="1">
      <alignment horizontal="center"/>
    </xf>
    <xf numFmtId="168" fontId="0" fillId="0" borderId="19" xfId="0" applyNumberFormat="1" applyFill="1" applyBorder="1" applyAlignment="1" applyProtection="1">
      <alignment horizontal="center"/>
    </xf>
    <xf numFmtId="168" fontId="0" fillId="0" borderId="18" xfId="0" applyNumberFormat="1" applyFill="1" applyBorder="1" applyAlignment="1" applyProtection="1"/>
    <xf numFmtId="168" fontId="0" fillId="0" borderId="19" xfId="0" applyNumberFormat="1" applyFill="1" applyBorder="1" applyAlignment="1" applyProtection="1"/>
    <xf numFmtId="3" fontId="5" fillId="0" borderId="31" xfId="0" applyNumberFormat="1" applyFont="1" applyBorder="1" applyAlignment="1">
      <alignment horizontal="right" wrapText="1"/>
    </xf>
    <xf numFmtId="0" fontId="5" fillId="0" borderId="18" xfId="0" applyFont="1" applyBorder="1" applyAlignment="1">
      <alignment horizontal="right" wrapText="1"/>
    </xf>
    <xf numFmtId="0" fontId="0" fillId="0" borderId="18" xfId="0" applyBorder="1" applyAlignment="1">
      <alignment horizontal="right"/>
    </xf>
    <xf numFmtId="3" fontId="0" fillId="3" borderId="20" xfId="0" applyNumberFormat="1" applyFill="1" applyBorder="1" applyAlignment="1" applyProtection="1">
      <alignment wrapText="1"/>
      <protection locked="0"/>
    </xf>
    <xf numFmtId="0" fontId="0" fillId="3" borderId="20" xfId="0" applyFill="1" applyBorder="1" applyAlignment="1" applyProtection="1">
      <alignment wrapText="1"/>
      <protection locked="0"/>
    </xf>
    <xf numFmtId="3" fontId="0" fillId="3" borderId="31" xfId="0" applyNumberFormat="1" applyFill="1" applyBorder="1" applyAlignment="1" applyProtection="1">
      <alignment wrapText="1"/>
      <protection locked="0"/>
    </xf>
    <xf numFmtId="0" fontId="0" fillId="3" borderId="18" xfId="0" applyFill="1" applyBorder="1" applyAlignment="1" applyProtection="1">
      <alignment wrapText="1"/>
      <protection locked="0"/>
    </xf>
    <xf numFmtId="0" fontId="0" fillId="3" borderId="19" xfId="0" applyFill="1" applyBorder="1" applyAlignment="1" applyProtection="1">
      <alignment wrapText="1"/>
      <protection locked="0"/>
    </xf>
    <xf numFmtId="0" fontId="13" fillId="0" borderId="1" xfId="0" applyNumberFormat="1" applyFont="1" applyFill="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3" fontId="1" fillId="3" borderId="31" xfId="0" applyNumberFormat="1" applyFont="1" applyFill="1" applyBorder="1" applyAlignment="1" applyProtection="1">
      <alignment wrapText="1"/>
      <protection locked="0"/>
    </xf>
    <xf numFmtId="0" fontId="0" fillId="3" borderId="18" xfId="0" applyFill="1" applyBorder="1" applyAlignment="1">
      <alignment wrapText="1"/>
    </xf>
    <xf numFmtId="0" fontId="0" fillId="3" borderId="19" xfId="0" applyFill="1" applyBorder="1" applyAlignment="1">
      <alignment wrapText="1"/>
    </xf>
    <xf numFmtId="3" fontId="1" fillId="0" borderId="0" xfId="0" applyNumberFormat="1" applyFont="1" applyAlignment="1">
      <alignment horizontal="center" vertical="center" wrapText="1"/>
    </xf>
    <xf numFmtId="0" fontId="0" fillId="0" borderId="0" xfId="0" applyAlignment="1">
      <alignment horizontal="center" vertical="center"/>
    </xf>
    <xf numFmtId="167" fontId="1" fillId="0" borderId="30" xfId="0" applyNumberFormat="1" applyFont="1" applyFill="1" applyBorder="1" applyAlignment="1" applyProtection="1">
      <alignment horizontal="center" vertical="center"/>
      <protection hidden="1"/>
    </xf>
    <xf numFmtId="167" fontId="0" fillId="3" borderId="30" xfId="0" applyNumberFormat="1" applyFill="1" applyBorder="1" applyAlignment="1" applyProtection="1">
      <alignment horizontal="center" vertical="center"/>
      <protection locked="0"/>
    </xf>
    <xf numFmtId="3" fontId="21" fillId="0" borderId="2" xfId="0" applyNumberFormat="1"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14" fontId="21" fillId="0" borderId="2" xfId="0" applyNumberFormat="1" applyFont="1" applyBorder="1" applyAlignment="1" applyProtection="1">
      <alignment horizontal="center"/>
      <protection locked="0"/>
    </xf>
    <xf numFmtId="14" fontId="0" fillId="0" borderId="2" xfId="0" applyNumberFormat="1" applyBorder="1" applyAlignment="1" applyProtection="1">
      <alignment horizontal="center"/>
      <protection locked="0"/>
    </xf>
    <xf numFmtId="0" fontId="21" fillId="0" borderId="0" xfId="0" applyFont="1" applyAlignment="1">
      <alignment horizontal="right" vertical="center"/>
    </xf>
    <xf numFmtId="0" fontId="0" fillId="0" borderId="0" xfId="0" applyAlignment="1">
      <alignment horizontal="right"/>
    </xf>
    <xf numFmtId="0" fontId="25" fillId="0" borderId="0" xfId="0" applyFont="1" applyAlignment="1" applyProtection="1">
      <alignment horizontal="left"/>
      <protection locked="0"/>
    </xf>
    <xf numFmtId="0" fontId="24" fillId="0" borderId="0" xfId="0" applyFont="1" applyAlignment="1" applyProtection="1">
      <alignment horizontal="left"/>
      <protection locked="0"/>
    </xf>
    <xf numFmtId="0" fontId="25" fillId="0" borderId="0" xfId="0" applyFont="1" applyAlignment="1" applyProtection="1">
      <protection locked="0"/>
    </xf>
    <xf numFmtId="0" fontId="24" fillId="0" borderId="0" xfId="0" applyFont="1" applyAlignment="1" applyProtection="1">
      <protection locked="0"/>
    </xf>
    <xf numFmtId="0" fontId="0" fillId="3" borderId="31" xfId="0" applyFill="1" applyBorder="1" applyAlignment="1" applyProtection="1">
      <protection locked="0"/>
    </xf>
    <xf numFmtId="166" fontId="0" fillId="3" borderId="31" xfId="0" applyNumberFormat="1" applyFill="1" applyBorder="1" applyAlignment="1" applyProtection="1">
      <alignment horizontal="center"/>
      <protection locked="0"/>
    </xf>
    <xf numFmtId="0" fontId="0" fillId="0" borderId="19" xfId="0" applyBorder="1" applyAlignment="1">
      <alignment horizontal="center"/>
    </xf>
    <xf numFmtId="3" fontId="2" fillId="0" borderId="0" xfId="0" applyNumberFormat="1" applyFont="1" applyBorder="1" applyAlignment="1">
      <alignment horizontal="center"/>
    </xf>
    <xf numFmtId="0" fontId="5" fillId="0" borderId="0" xfId="0" applyFont="1" applyAlignment="1">
      <alignment horizontal="right"/>
    </xf>
    <xf numFmtId="0" fontId="6" fillId="0" borderId="31" xfId="0" applyFont="1" applyBorder="1" applyAlignment="1">
      <alignment horizontal="center"/>
    </xf>
    <xf numFmtId="0" fontId="6" fillId="0" borderId="19" xfId="0" applyFont="1" applyBorder="1" applyAlignment="1">
      <alignment horizontal="center"/>
    </xf>
    <xf numFmtId="0" fontId="0" fillId="3" borderId="31" xfId="0" applyFill="1" applyBorder="1" applyAlignment="1" applyProtection="1">
      <alignment horizontal="center"/>
      <protection locked="0"/>
    </xf>
    <xf numFmtId="0" fontId="0" fillId="3" borderId="18" xfId="0" applyFill="1" applyBorder="1" applyAlignment="1" applyProtection="1">
      <protection locked="0"/>
    </xf>
    <xf numFmtId="0" fontId="0" fillId="3" borderId="19" xfId="0" applyFill="1" applyBorder="1" applyAlignment="1" applyProtection="1">
      <protection locked="0"/>
    </xf>
    <xf numFmtId="166" fontId="6" fillId="3" borderId="31" xfId="0" applyNumberFormat="1" applyFont="1" applyFill="1" applyBorder="1" applyAlignment="1" applyProtection="1">
      <alignment horizontal="center" vertical="center" wrapText="1"/>
      <protection locked="0"/>
    </xf>
    <xf numFmtId="166" fontId="6" fillId="3" borderId="19" xfId="0" applyNumberFormat="1" applyFont="1" applyFill="1" applyBorder="1" applyAlignment="1" applyProtection="1">
      <alignment horizontal="center" vertical="center" wrapText="1"/>
      <protection locked="0"/>
    </xf>
    <xf numFmtId="14" fontId="0" fillId="3" borderId="20" xfId="0" applyNumberFormat="1"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3" borderId="19" xfId="0" applyFill="1" applyBorder="1" applyAlignment="1" applyProtection="1">
      <alignment horizontal="center"/>
      <protection locked="0"/>
    </xf>
    <xf numFmtId="166" fontId="0" fillId="3" borderId="31" xfId="0" applyNumberFormat="1"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1" fillId="0" borderId="0" xfId="0" applyFont="1" applyBorder="1" applyAlignment="1">
      <alignment horizontal="center"/>
    </xf>
    <xf numFmtId="0" fontId="0" fillId="0" borderId="0" xfId="0" applyBorder="1" applyAlignment="1">
      <alignment horizontal="center"/>
    </xf>
    <xf numFmtId="164" fontId="0" fillId="3" borderId="1" xfId="0" applyNumberFormat="1" applyFill="1" applyBorder="1" applyAlignment="1" applyProtection="1">
      <alignment horizontal="center" vertical="center"/>
      <protection locked="0" hidden="1"/>
    </xf>
    <xf numFmtId="0" fontId="0" fillId="3" borderId="1" xfId="0" applyFill="1" applyBorder="1" applyAlignment="1" applyProtection="1">
      <alignment vertical="center"/>
      <protection locked="0" hidden="1"/>
    </xf>
    <xf numFmtId="3" fontId="1" fillId="0" borderId="0" xfId="0" applyNumberFormat="1" applyFont="1" applyAlignment="1">
      <alignment horizontal="center"/>
    </xf>
    <xf numFmtId="8" fontId="6" fillId="0" borderId="31" xfId="0" applyNumberFormat="1" applyFont="1" applyBorder="1" applyAlignment="1" applyProtection="1">
      <alignment horizontal="center" vertical="center" wrapText="1"/>
      <protection hidden="1"/>
    </xf>
    <xf numFmtId="8" fontId="6" fillId="0" borderId="19" xfId="0" applyNumberFormat="1" applyFont="1" applyBorder="1" applyAlignment="1" applyProtection="1">
      <alignment horizontal="center" vertical="center" wrapText="1"/>
      <protection hidden="1"/>
    </xf>
    <xf numFmtId="0" fontId="7" fillId="0" borderId="0" xfId="0" applyFont="1" applyAlignment="1">
      <alignment horizontal="center" vertical="center"/>
    </xf>
    <xf numFmtId="166" fontId="6" fillId="0" borderId="31" xfId="0" applyNumberFormat="1" applyFont="1" applyBorder="1" applyAlignment="1" applyProtection="1">
      <alignment horizontal="center" vertical="center"/>
      <protection hidden="1"/>
    </xf>
    <xf numFmtId="166" fontId="6" fillId="0" borderId="19" xfId="0" applyNumberFormat="1" applyFont="1" applyBorder="1" applyAlignment="1" applyProtection="1">
      <alignment horizontal="center" vertical="center"/>
      <protection hidden="1"/>
    </xf>
    <xf numFmtId="3" fontId="6"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167" fontId="6" fillId="0" borderId="30" xfId="0" applyNumberFormat="1" applyFont="1" applyFill="1" applyBorder="1" applyAlignment="1" applyProtection="1">
      <alignment horizontal="center" vertical="center"/>
      <protection hidden="1"/>
    </xf>
    <xf numFmtId="167" fontId="6" fillId="3" borderId="30" xfId="0" applyNumberFormat="1" applyFont="1" applyFill="1" applyBorder="1" applyAlignment="1" applyProtection="1">
      <alignment horizontal="center" vertical="center"/>
      <protection locked="0"/>
    </xf>
    <xf numFmtId="0" fontId="6" fillId="0" borderId="0" xfId="0" applyFont="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xf>
    <xf numFmtId="0" fontId="0" fillId="0" borderId="37" xfId="0" applyBorder="1" applyAlignment="1">
      <alignment horizontal="center" vertical="center"/>
    </xf>
    <xf numFmtId="0" fontId="1" fillId="3" borderId="31" xfId="0" applyFont="1" applyFill="1" applyBorder="1" applyAlignment="1" applyProtection="1">
      <protection locked="0"/>
    </xf>
    <xf numFmtId="167" fontId="0" fillId="3" borderId="20" xfId="0" applyNumberForma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14" fontId="0" fillId="3" borderId="31" xfId="0" applyNumberFormat="1" applyFill="1" applyBorder="1" applyAlignment="1" applyProtection="1">
      <alignment horizontal="center"/>
      <protection locked="0"/>
    </xf>
    <xf numFmtId="166" fontId="14" fillId="0" borderId="30" xfId="0" applyNumberFormat="1" applyFont="1" applyBorder="1" applyAlignment="1" applyProtection="1">
      <alignment horizontal="center" vertical="top"/>
      <protection hidden="1"/>
    </xf>
    <xf numFmtId="0" fontId="0" fillId="0" borderId="30" xfId="0" applyBorder="1" applyAlignment="1" applyProtection="1">
      <alignment horizontal="center" vertical="top"/>
      <protection hidden="1"/>
    </xf>
    <xf numFmtId="0" fontId="1" fillId="0" borderId="0" xfId="0" applyFont="1" applyAlignment="1" applyProtection="1"/>
    <xf numFmtId="0" fontId="0" fillId="0" borderId="0" xfId="0" applyAlignment="1" applyProtection="1"/>
    <xf numFmtId="0" fontId="1" fillId="0" borderId="30" xfId="0" applyFont="1" applyBorder="1" applyAlignment="1" applyProtection="1">
      <alignment horizontal="center" vertical="center"/>
    </xf>
    <xf numFmtId="0" fontId="0" fillId="0" borderId="30" xfId="0" applyBorder="1" applyAlignment="1" applyProtection="1">
      <alignment horizontal="center" vertical="center"/>
    </xf>
    <xf numFmtId="0" fontId="1" fillId="3" borderId="31" xfId="0" applyFont="1" applyFill="1" applyBorder="1" applyAlignment="1" applyProtection="1">
      <alignment wrapText="1"/>
      <protection locked="0"/>
    </xf>
    <xf numFmtId="164" fontId="0" fillId="3" borderId="0" xfId="0" applyNumberFormat="1" applyFill="1" applyBorder="1" applyAlignment="1" applyProtection="1">
      <alignment horizontal="center" vertical="center"/>
      <protection locked="0" hidden="1"/>
    </xf>
    <xf numFmtId="0" fontId="0" fillId="3" borderId="0" xfId="0" applyFill="1" applyAlignment="1" applyProtection="1">
      <protection locked="0"/>
    </xf>
    <xf numFmtId="0" fontId="0" fillId="0" borderId="1" xfId="0" applyBorder="1" applyAlignment="1" applyProtection="1">
      <alignment wrapText="1"/>
      <protection hidden="1"/>
    </xf>
    <xf numFmtId="3" fontId="2" fillId="0" borderId="4" xfId="0" applyNumberFormat="1" applyFont="1" applyBorder="1" applyAlignment="1" applyProtection="1">
      <alignment horizontal="center" wrapText="1"/>
      <protection hidden="1"/>
    </xf>
    <xf numFmtId="0" fontId="0" fillId="0" borderId="4" xfId="0" applyBorder="1" applyAlignment="1" applyProtection="1">
      <alignment wrapText="1"/>
      <protection hidden="1"/>
    </xf>
    <xf numFmtId="3" fontId="1" fillId="0" borderId="4" xfId="0" applyNumberFormat="1" applyFont="1" applyBorder="1" applyAlignment="1" applyProtection="1">
      <alignment horizontal="center" wrapText="1"/>
      <protection hidden="1"/>
    </xf>
    <xf numFmtId="0" fontId="0" fillId="0" borderId="4" xfId="0" applyBorder="1" applyAlignment="1" applyProtection="1">
      <alignment horizontal="center" wrapText="1"/>
      <protection hidden="1"/>
    </xf>
    <xf numFmtId="3" fontId="24" fillId="3" borderId="2" xfId="0" applyNumberFormat="1" applyFont="1" applyFill="1" applyBorder="1" applyAlignment="1" applyProtection="1">
      <protection locked="0"/>
    </xf>
    <xf numFmtId="0" fontId="24" fillId="3" borderId="2" xfId="0" applyFont="1" applyFill="1" applyBorder="1" applyAlignment="1" applyProtection="1">
      <protection locked="0"/>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protection hidden="1"/>
    </xf>
    <xf numFmtId="0" fontId="1" fillId="0" borderId="61" xfId="0" applyFont="1" applyFill="1" applyBorder="1" applyAlignment="1">
      <alignment wrapText="1"/>
    </xf>
    <xf numFmtId="0" fontId="0" fillId="0" borderId="62" xfId="0" applyFill="1" applyBorder="1" applyAlignment="1">
      <alignment wrapText="1"/>
    </xf>
    <xf numFmtId="0" fontId="1" fillId="0" borderId="41" xfId="0" applyFont="1" applyBorder="1" applyAlignment="1">
      <alignment wrapText="1"/>
    </xf>
    <xf numFmtId="0" fontId="0" fillId="0" borderId="12" xfId="0" applyBorder="1" applyAlignment="1">
      <alignment wrapText="1"/>
    </xf>
    <xf numFmtId="0" fontId="1" fillId="0" borderId="62" xfId="0" applyFont="1" applyFill="1" applyBorder="1" applyAlignment="1">
      <alignment wrapText="1"/>
    </xf>
    <xf numFmtId="0" fontId="1" fillId="0" borderId="33" xfId="0" applyFont="1" applyBorder="1" applyAlignment="1">
      <alignment wrapText="1"/>
    </xf>
    <xf numFmtId="0" fontId="0" fillId="0" borderId="33" xfId="0" applyBorder="1" applyAlignment="1">
      <alignment wrapText="1"/>
    </xf>
    <xf numFmtId="0" fontId="1" fillId="0" borderId="58" xfId="0" applyFont="1" applyBorder="1" applyAlignment="1">
      <alignment horizontal="center" vertical="center"/>
    </xf>
    <xf numFmtId="0" fontId="0" fillId="0" borderId="59" xfId="0" applyBorder="1" applyAlignment="1">
      <alignment horizontal="center" vertical="center"/>
    </xf>
    <xf numFmtId="0" fontId="1" fillId="0" borderId="61" xfId="0" applyFont="1" applyBorder="1" applyAlignment="1"/>
    <xf numFmtId="0" fontId="0" fillId="0" borderId="62" xfId="0" applyBorder="1" applyAlignment="1"/>
    <xf numFmtId="3" fontId="13" fillId="3" borderId="2"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9" fontId="0" fillId="0" borderId="57" xfId="0" applyNumberFormat="1" applyBorder="1" applyAlignment="1">
      <alignment horizontal="center" vertical="center"/>
    </xf>
    <xf numFmtId="0" fontId="0" fillId="0" borderId="20" xfId="0" applyBorder="1" applyAlignment="1">
      <alignment horizontal="center" vertical="center"/>
    </xf>
    <xf numFmtId="0" fontId="1" fillId="0" borderId="61" xfId="0" applyFont="1" applyFill="1" applyBorder="1" applyAlignment="1">
      <alignment horizontal="left" vertical="center" wrapText="1"/>
    </xf>
    <xf numFmtId="0" fontId="0" fillId="0" borderId="62" xfId="0" applyFill="1" applyBorder="1" applyAlignment="1">
      <alignment horizontal="left" vertical="center" wrapText="1"/>
    </xf>
    <xf numFmtId="0" fontId="1" fillId="0" borderId="82" xfId="0" applyFont="1" applyFill="1" applyBorder="1" applyAlignment="1">
      <alignment horizontal="left" vertical="center" wrapText="1"/>
    </xf>
    <xf numFmtId="0" fontId="0" fillId="0" borderId="42" xfId="0" applyBorder="1" applyAlignment="1">
      <alignment horizontal="left" vertical="center" wrapText="1"/>
    </xf>
    <xf numFmtId="3" fontId="15" fillId="0" borderId="0" xfId="0" applyNumberFormat="1" applyFont="1" applyBorder="1" applyAlignment="1" applyProtection="1">
      <alignment horizontal="right"/>
      <protection hidden="1"/>
    </xf>
    <xf numFmtId="0" fontId="15" fillId="0" borderId="0" xfId="0" applyFont="1" applyAlignment="1" applyProtection="1">
      <protection hidden="1"/>
    </xf>
    <xf numFmtId="0" fontId="1" fillId="0" borderId="34" xfId="0" applyFont="1" applyBorder="1" applyAlignment="1">
      <alignment vertical="center" wrapText="1"/>
    </xf>
    <xf numFmtId="0" fontId="0" fillId="0" borderId="35" xfId="0" applyBorder="1" applyAlignment="1">
      <alignment vertical="center" wrapText="1"/>
    </xf>
    <xf numFmtId="3" fontId="2" fillId="0" borderId="4" xfId="0" applyNumberFormat="1" applyFont="1" applyBorder="1" applyAlignment="1" applyProtection="1">
      <alignment horizontal="center"/>
      <protection hidden="1"/>
    </xf>
    <xf numFmtId="0" fontId="0" fillId="0" borderId="4" xfId="0" applyBorder="1" applyAlignment="1" applyProtection="1">
      <alignment horizontal="center"/>
      <protection hidden="1"/>
    </xf>
    <xf numFmtId="0" fontId="1" fillId="0" borderId="83" xfId="0" applyFont="1" applyBorder="1" applyAlignment="1">
      <alignment vertical="center" wrapText="1"/>
    </xf>
    <xf numFmtId="0" fontId="0" fillId="0" borderId="87" xfId="0" applyBorder="1" applyAlignment="1">
      <alignment vertical="center" wrapText="1"/>
    </xf>
    <xf numFmtId="1" fontId="13" fillId="3" borderId="1" xfId="0" applyNumberFormat="1" applyFont="1" applyFill="1" applyBorder="1" applyAlignment="1" applyProtection="1">
      <alignment horizontal="center" vertical="center" wrapText="1"/>
      <protection locked="0" hidden="1"/>
    </xf>
    <xf numFmtId="3" fontId="1" fillId="0" borderId="0" xfId="0" applyNumberFormat="1" applyFont="1" applyFill="1" applyBorder="1" applyAlignment="1">
      <alignment horizontal="center"/>
    </xf>
    <xf numFmtId="0" fontId="0" fillId="0" borderId="0" xfId="0" applyFill="1" applyBorder="1" applyAlignment="1">
      <alignment horizontal="center"/>
    </xf>
    <xf numFmtId="3" fontId="1" fillId="3" borderId="1" xfId="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0" fontId="0" fillId="0" borderId="0" xfId="0" applyAlignment="1">
      <alignment horizontal="center"/>
    </xf>
    <xf numFmtId="0" fontId="0" fillId="3" borderId="1" xfId="0" applyFill="1" applyBorder="1" applyAlignment="1" applyProtection="1">
      <protection locked="0" hidden="1"/>
    </xf>
    <xf numFmtId="3" fontId="2" fillId="0" borderId="0" xfId="0" applyNumberFormat="1" applyFont="1" applyAlignment="1" applyProtection="1">
      <alignment horizontal="center"/>
      <protection hidden="1"/>
    </xf>
    <xf numFmtId="0" fontId="0" fillId="0" borderId="0" xfId="0" applyAlignment="1" applyProtection="1">
      <protection hidden="1"/>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xf numFmtId="166" fontId="6" fillId="3" borderId="31" xfId="0" applyNumberFormat="1" applyFont="1" applyFill="1" applyBorder="1" applyAlignment="1" applyProtection="1">
      <alignment horizontal="center" vertical="center" wrapText="1"/>
      <protection locked="0" hidden="1"/>
    </xf>
    <xf numFmtId="166" fontId="6" fillId="3" borderId="19" xfId="0" applyNumberFormat="1" applyFont="1" applyFill="1" applyBorder="1" applyAlignment="1" applyProtection="1">
      <alignment horizontal="center" vertical="center" wrapText="1"/>
      <protection locked="0" hidden="1"/>
    </xf>
    <xf numFmtId="0" fontId="6" fillId="0" borderId="0" xfId="0" applyFont="1" applyAlignment="1">
      <alignment horizontal="left" vertical="center" wrapText="1"/>
    </xf>
    <xf numFmtId="0" fontId="6" fillId="0" borderId="37" xfId="0" applyFont="1" applyBorder="1" applyAlignment="1">
      <alignment horizontal="left" vertical="center" wrapText="1"/>
    </xf>
    <xf numFmtId="8" fontId="6" fillId="3" borderId="31" xfId="0" applyNumberFormat="1" applyFont="1" applyFill="1" applyBorder="1" applyAlignment="1" applyProtection="1">
      <alignment horizontal="center" vertical="center" wrapText="1"/>
      <protection locked="0" hidden="1"/>
    </xf>
    <xf numFmtId="8" fontId="6" fillId="3" borderId="19" xfId="0" applyNumberFormat="1" applyFont="1" applyFill="1" applyBorder="1" applyAlignment="1" applyProtection="1">
      <alignment horizontal="center" vertical="center" wrapText="1"/>
      <protection locked="0" hidden="1"/>
    </xf>
    <xf numFmtId="0" fontId="6" fillId="0" borderId="0" xfId="0" applyFont="1" applyAlignment="1">
      <alignment wrapText="1"/>
    </xf>
    <xf numFmtId="0" fontId="0" fillId="0" borderId="0" xfId="0" applyAlignment="1">
      <alignment wrapText="1"/>
    </xf>
    <xf numFmtId="0" fontId="0" fillId="0" borderId="37" xfId="0" applyBorder="1" applyAlignment="1">
      <alignment wrapText="1"/>
    </xf>
    <xf numFmtId="3" fontId="16" fillId="0" borderId="0" xfId="0" applyNumberFormat="1" applyFont="1" applyBorder="1" applyAlignment="1">
      <alignment horizontal="left"/>
    </xf>
    <xf numFmtId="0" fontId="16" fillId="0" borderId="0" xfId="0" applyFont="1" applyAlignment="1">
      <alignment horizontal="left"/>
    </xf>
    <xf numFmtId="0" fontId="13" fillId="0" borderId="0" xfId="0" applyFont="1" applyAlignment="1"/>
  </cellXfs>
  <cellStyles count="2">
    <cellStyle name="Comma" xfId="1" builtinId="3"/>
    <cellStyle name="Normal" xfId="0" builtinId="0"/>
  </cellStyles>
  <dxfs count="370">
    <dxf>
      <fill>
        <patternFill>
          <bgColor rgb="FFFF0000"/>
        </patternFill>
      </fill>
      <border>
        <left/>
        <right style="thin">
          <color auto="1"/>
        </right>
        <top style="thin">
          <color auto="1"/>
        </top>
        <bottom style="thin">
          <color auto="1"/>
        </bottom>
        <vertical/>
        <horizontal/>
      </border>
    </dxf>
    <dxf>
      <fill>
        <patternFill>
          <bgColor rgb="FFFF0000"/>
        </patternFill>
      </fill>
      <border>
        <top style="thin">
          <color auto="1"/>
        </top>
        <bottom style="thin">
          <color auto="1"/>
        </bottom>
        <vertical/>
        <horizontal/>
      </border>
    </dxf>
    <dxf>
      <fill>
        <patternFill>
          <bgColor rgb="FFFF0000"/>
        </patternFill>
      </fill>
      <border>
        <left style="thin">
          <color auto="1"/>
        </left>
        <top style="thin">
          <color auto="1"/>
        </top>
        <bottom style="thin">
          <color auto="1"/>
        </bottom>
        <vertical/>
        <horizontal/>
      </border>
    </dxf>
    <dxf>
      <font>
        <color theme="1"/>
      </font>
      <fill>
        <patternFill>
          <bgColor rgb="FFFF0000"/>
        </patternFill>
      </fill>
      <border>
        <right style="thin">
          <color auto="1"/>
        </right>
        <top style="thin">
          <color auto="1"/>
        </top>
        <bottom style="thin">
          <color auto="1"/>
        </bottom>
        <vertical/>
        <horizontal/>
      </border>
    </dxf>
    <dxf>
      <font>
        <color theme="1"/>
      </font>
      <fill>
        <patternFill>
          <bgColor rgb="FFFF0000"/>
        </patternFill>
      </fill>
      <border>
        <top style="thin">
          <color auto="1"/>
        </top>
        <bottom style="thin">
          <color auto="1"/>
        </bottom>
        <vertical/>
        <horizontal/>
      </border>
    </dxf>
    <dxf>
      <font>
        <color theme="1"/>
      </font>
      <fill>
        <patternFill>
          <bgColor rgb="FFFF0000"/>
        </patternFill>
      </fill>
      <border>
        <left style="thin">
          <color auto="1"/>
        </left>
        <right/>
        <top style="thin">
          <color auto="1"/>
        </top>
        <bottom style="thin">
          <color auto="1"/>
        </bottom>
        <vertical/>
        <horizontal/>
      </border>
    </dxf>
    <dxf>
      <font>
        <color theme="1"/>
      </font>
      <fill>
        <patternFill>
          <bgColor rgb="FFFF0000"/>
        </patternFill>
      </fill>
      <border>
        <left/>
        <right style="thin">
          <color auto="1"/>
        </right>
        <top style="thin">
          <color auto="1"/>
        </top>
        <bottom style="thin">
          <color auto="1"/>
        </bottom>
        <vertical/>
        <horizontal/>
      </border>
    </dxf>
    <dxf>
      <font>
        <color theme="1"/>
      </font>
      <fill>
        <patternFill>
          <bgColor rgb="FFFF0000"/>
        </patternFill>
      </fill>
      <border>
        <left/>
        <right/>
        <top style="thin">
          <color auto="1"/>
        </top>
        <bottom style="thin">
          <color auto="1"/>
        </bottom>
        <vertical/>
        <horizontal/>
      </border>
    </dxf>
    <dxf>
      <font>
        <color theme="1"/>
      </font>
      <fill>
        <patternFill>
          <bgColor rgb="FFFF0000"/>
        </patternFill>
      </fill>
      <border>
        <left style="thin">
          <color auto="1"/>
        </left>
        <right/>
        <top style="thin">
          <color auto="1"/>
        </top>
        <bottom style="thin">
          <color auto="1"/>
        </bottom>
        <vertical/>
        <horizontal/>
      </border>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ECFF"/>
      <color rgb="FFFFCC99"/>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130"/>
  <sheetViews>
    <sheetView tabSelected="1" zoomScale="125" zoomScaleNormal="125" workbookViewId="0">
      <selection activeCell="C1" sqref="C1"/>
    </sheetView>
  </sheetViews>
  <sheetFormatPr defaultRowHeight="12.5" x14ac:dyDescent="0.25"/>
  <cols>
    <col min="1" max="1" width="4.54296875" customWidth="1"/>
    <col min="2" max="2" width="6" customWidth="1"/>
    <col min="3" max="3" width="83.08984375" customWidth="1"/>
    <col min="4" max="4" width="13.54296875" customWidth="1"/>
  </cols>
  <sheetData>
    <row r="1" spans="1:3" x14ac:dyDescent="0.25">
      <c r="A1" s="85" t="s">
        <v>99</v>
      </c>
    </row>
    <row r="2" spans="1:3" x14ac:dyDescent="0.25">
      <c r="B2" s="85" t="s">
        <v>145</v>
      </c>
    </row>
    <row r="3" spans="1:3" x14ac:dyDescent="0.25">
      <c r="A3" s="85" t="s">
        <v>213</v>
      </c>
      <c r="B3" s="85"/>
    </row>
    <row r="4" spans="1:3" x14ac:dyDescent="0.25">
      <c r="B4" s="85" t="s">
        <v>214</v>
      </c>
    </row>
    <row r="5" spans="1:3" x14ac:dyDescent="0.25">
      <c r="B5" s="85" t="s">
        <v>102</v>
      </c>
    </row>
    <row r="6" spans="1:3" x14ac:dyDescent="0.25">
      <c r="B6" s="85" t="s">
        <v>114</v>
      </c>
    </row>
    <row r="7" spans="1:3" x14ac:dyDescent="0.25">
      <c r="A7" t="s">
        <v>272</v>
      </c>
      <c r="B7" s="85"/>
    </row>
    <row r="8" spans="1:3" x14ac:dyDescent="0.25">
      <c r="B8" s="85" t="s">
        <v>273</v>
      </c>
    </row>
    <row r="9" spans="1:3" x14ac:dyDescent="0.25">
      <c r="A9" s="85" t="s">
        <v>229</v>
      </c>
      <c r="B9" s="85"/>
    </row>
    <row r="10" spans="1:3" x14ac:dyDescent="0.25">
      <c r="B10" s="85" t="s">
        <v>230</v>
      </c>
    </row>
    <row r="11" spans="1:3" ht="13" x14ac:dyDescent="0.3">
      <c r="A11" s="85" t="s">
        <v>285</v>
      </c>
      <c r="B11" s="85"/>
    </row>
    <row r="12" spans="1:3" ht="12" customHeight="1" x14ac:dyDescent="0.3">
      <c r="B12" s="85" t="s">
        <v>286</v>
      </c>
    </row>
    <row r="13" spans="1:3" ht="11.25" customHeight="1" x14ac:dyDescent="0.3">
      <c r="B13" s="85" t="s">
        <v>316</v>
      </c>
    </row>
    <row r="14" spans="1:3" ht="13" x14ac:dyDescent="0.3">
      <c r="B14" s="85"/>
      <c r="C14" s="85" t="s">
        <v>317</v>
      </c>
    </row>
    <row r="15" spans="1:3" ht="14.25" customHeight="1" x14ac:dyDescent="0.25">
      <c r="B15" s="85"/>
      <c r="C15" s="85"/>
    </row>
    <row r="16" spans="1:3" x14ac:dyDescent="0.25">
      <c r="A16" s="85" t="s">
        <v>104</v>
      </c>
    </row>
    <row r="17" spans="1:3" x14ac:dyDescent="0.25">
      <c r="A17" s="113" t="s">
        <v>200</v>
      </c>
      <c r="B17" s="114"/>
      <c r="C17" s="114"/>
    </row>
    <row r="18" spans="1:3" x14ac:dyDescent="0.25">
      <c r="A18" s="115" t="s">
        <v>105</v>
      </c>
      <c r="B18" s="116"/>
      <c r="C18" s="116"/>
    </row>
    <row r="19" spans="1:3" x14ac:dyDescent="0.25">
      <c r="A19" s="115"/>
      <c r="B19" s="115" t="s">
        <v>235</v>
      </c>
      <c r="C19" s="116"/>
    </row>
    <row r="20" spans="1:3" x14ac:dyDescent="0.25">
      <c r="A20" s="232" t="s">
        <v>318</v>
      </c>
      <c r="B20" s="233"/>
      <c r="C20" s="233"/>
    </row>
    <row r="21" spans="1:3" x14ac:dyDescent="0.25">
      <c r="A21" s="232"/>
      <c r="B21" s="233" t="s">
        <v>182</v>
      </c>
      <c r="C21" s="233"/>
    </row>
    <row r="22" spans="1:3" x14ac:dyDescent="0.25">
      <c r="A22" s="232"/>
      <c r="B22" s="232" t="s">
        <v>234</v>
      </c>
      <c r="C22" s="233"/>
    </row>
    <row r="23" spans="1:3" x14ac:dyDescent="0.25">
      <c r="A23" s="297" t="s">
        <v>302</v>
      </c>
      <c r="B23" s="297"/>
      <c r="C23" s="298"/>
    </row>
    <row r="24" spans="1:3" x14ac:dyDescent="0.25">
      <c r="A24" s="297"/>
      <c r="B24" s="297" t="s">
        <v>319</v>
      </c>
      <c r="C24" s="298"/>
    </row>
    <row r="25" spans="1:3" s="224" customFormat="1" x14ac:dyDescent="0.25">
      <c r="A25" s="223"/>
    </row>
    <row r="26" spans="1:3" x14ac:dyDescent="0.25">
      <c r="A26" s="85" t="s">
        <v>243</v>
      </c>
      <c r="B26" s="85"/>
    </row>
    <row r="27" spans="1:3" ht="13" x14ac:dyDescent="0.3">
      <c r="A27" s="219" t="s">
        <v>236</v>
      </c>
    </row>
    <row r="28" spans="1:3" x14ac:dyDescent="0.25">
      <c r="B28" s="85" t="s">
        <v>103</v>
      </c>
    </row>
    <row r="29" spans="1:3" x14ac:dyDescent="0.25">
      <c r="B29" s="85" t="s">
        <v>225</v>
      </c>
    </row>
    <row r="30" spans="1:3" x14ac:dyDescent="0.25">
      <c r="B30" s="85" t="s">
        <v>100</v>
      </c>
    </row>
    <row r="31" spans="1:3" x14ac:dyDescent="0.25">
      <c r="B31" s="85" t="s">
        <v>115</v>
      </c>
    </row>
    <row r="32" spans="1:3" x14ac:dyDescent="0.25">
      <c r="B32" s="85" t="s">
        <v>101</v>
      </c>
    </row>
    <row r="33" spans="1:3" x14ac:dyDescent="0.25">
      <c r="B33" s="85" t="s">
        <v>237</v>
      </c>
    </row>
    <row r="34" spans="1:3" x14ac:dyDescent="0.25">
      <c r="C34" s="85" t="s">
        <v>238</v>
      </c>
    </row>
    <row r="35" spans="1:3" x14ac:dyDescent="0.25">
      <c r="C35" s="85" t="s">
        <v>244</v>
      </c>
    </row>
    <row r="36" spans="1:3" ht="9" customHeight="1" x14ac:dyDescent="0.25"/>
    <row r="37" spans="1:3" x14ac:dyDescent="0.25">
      <c r="B37" s="85" t="s">
        <v>215</v>
      </c>
    </row>
    <row r="38" spans="1:3" x14ac:dyDescent="0.25">
      <c r="C38" s="85" t="s">
        <v>183</v>
      </c>
    </row>
    <row r="39" spans="1:3" x14ac:dyDescent="0.25">
      <c r="C39" s="85" t="s">
        <v>184</v>
      </c>
    </row>
    <row r="40" spans="1:3" ht="13" x14ac:dyDescent="0.3">
      <c r="A40" s="219" t="s">
        <v>257</v>
      </c>
    </row>
    <row r="41" spans="1:3" x14ac:dyDescent="0.25">
      <c r="B41" s="85" t="s">
        <v>266</v>
      </c>
    </row>
    <row r="42" spans="1:3" ht="13" x14ac:dyDescent="0.3">
      <c r="C42" s="85" t="s">
        <v>267</v>
      </c>
    </row>
    <row r="43" spans="1:3" x14ac:dyDescent="0.25">
      <c r="B43" s="85" t="s">
        <v>216</v>
      </c>
    </row>
    <row r="44" spans="1:3" x14ac:dyDescent="0.25">
      <c r="B44" s="85" t="s">
        <v>239</v>
      </c>
    </row>
    <row r="45" spans="1:3" x14ac:dyDescent="0.25">
      <c r="B45" s="85" t="s">
        <v>258</v>
      </c>
    </row>
    <row r="46" spans="1:3" x14ac:dyDescent="0.25">
      <c r="B46" s="85" t="s">
        <v>109</v>
      </c>
    </row>
    <row r="47" spans="1:3" hidden="1" x14ac:dyDescent="0.25">
      <c r="B47" s="85" t="s">
        <v>139</v>
      </c>
    </row>
    <row r="48" spans="1:3" hidden="1" x14ac:dyDescent="0.25">
      <c r="A48" s="85" t="s">
        <v>106</v>
      </c>
    </row>
    <row r="49" spans="1:3" hidden="1" x14ac:dyDescent="0.25">
      <c r="A49" s="85" t="s">
        <v>137</v>
      </c>
    </row>
    <row r="50" spans="1:3" hidden="1" x14ac:dyDescent="0.25">
      <c r="B50" s="85" t="s">
        <v>138</v>
      </c>
    </row>
    <row r="51" spans="1:3" hidden="1" x14ac:dyDescent="0.25">
      <c r="A51" s="85" t="s">
        <v>120</v>
      </c>
    </row>
    <row r="52" spans="1:3" hidden="1" x14ac:dyDescent="0.25">
      <c r="A52" s="85" t="s">
        <v>122</v>
      </c>
    </row>
    <row r="53" spans="1:3" hidden="1" x14ac:dyDescent="0.25">
      <c r="A53" s="85" t="s">
        <v>123</v>
      </c>
    </row>
    <row r="54" spans="1:3" ht="11.25" hidden="1" customHeight="1" x14ac:dyDescent="0.25"/>
    <row r="55" spans="1:3" ht="11.25" customHeight="1" x14ac:dyDescent="0.25"/>
    <row r="56" spans="1:3" ht="11.25" customHeight="1" x14ac:dyDescent="0.3">
      <c r="A56" s="219" t="s">
        <v>241</v>
      </c>
    </row>
    <row r="57" spans="1:3" ht="11.25" customHeight="1" x14ac:dyDescent="0.25">
      <c r="B57" s="85" t="s">
        <v>324</v>
      </c>
    </row>
    <row r="58" spans="1:3" ht="68.25" customHeight="1" x14ac:dyDescent="0.25">
      <c r="C58" s="310" t="s">
        <v>325</v>
      </c>
    </row>
    <row r="59" spans="1:3" ht="11.25" customHeight="1" x14ac:dyDescent="0.25"/>
    <row r="60" spans="1:3" ht="12" customHeight="1" x14ac:dyDescent="0.3">
      <c r="A60" s="219" t="s">
        <v>185</v>
      </c>
    </row>
    <row r="61" spans="1:3" ht="12" customHeight="1" x14ac:dyDescent="0.25">
      <c r="B61" s="85" t="s">
        <v>186</v>
      </c>
    </row>
    <row r="62" spans="1:3" ht="12" customHeight="1" x14ac:dyDescent="0.25">
      <c r="C62" s="85" t="s">
        <v>193</v>
      </c>
    </row>
    <row r="63" spans="1:3" ht="12" customHeight="1" x14ac:dyDescent="0.25">
      <c r="C63" s="85" t="s">
        <v>195</v>
      </c>
    </row>
    <row r="64" spans="1:3" ht="12" customHeight="1" x14ac:dyDescent="0.25">
      <c r="C64" s="85" t="s">
        <v>194</v>
      </c>
    </row>
    <row r="65" spans="1:3" ht="12" customHeight="1" x14ac:dyDescent="0.25">
      <c r="C65" s="85"/>
    </row>
    <row r="66" spans="1:3" ht="13" x14ac:dyDescent="0.3">
      <c r="A66" s="219" t="s">
        <v>108</v>
      </c>
    </row>
    <row r="67" spans="1:3" x14ac:dyDescent="0.25">
      <c r="B67" s="85" t="s">
        <v>245</v>
      </c>
    </row>
    <row r="68" spans="1:3" x14ac:dyDescent="0.25">
      <c r="B68" s="85"/>
      <c r="C68" s="85" t="s">
        <v>246</v>
      </c>
    </row>
    <row r="69" spans="1:3" x14ac:dyDescent="0.25">
      <c r="C69" s="85" t="s">
        <v>247</v>
      </c>
    </row>
    <row r="70" spans="1:3" ht="13" x14ac:dyDescent="0.3">
      <c r="B70" s="85" t="s">
        <v>248</v>
      </c>
    </row>
    <row r="71" spans="1:3" x14ac:dyDescent="0.25">
      <c r="B71" s="85" t="s">
        <v>249</v>
      </c>
    </row>
    <row r="72" spans="1:3" x14ac:dyDescent="0.25">
      <c r="B72" s="85" t="s">
        <v>250</v>
      </c>
    </row>
    <row r="73" spans="1:3" x14ac:dyDescent="0.25">
      <c r="B73" s="85" t="s">
        <v>278</v>
      </c>
    </row>
    <row r="74" spans="1:3" x14ac:dyDescent="0.25">
      <c r="B74" s="85"/>
      <c r="C74" s="85" t="s">
        <v>306</v>
      </c>
    </row>
    <row r="75" spans="1:3" x14ac:dyDescent="0.25">
      <c r="B75" s="85"/>
      <c r="C75" s="85" t="s">
        <v>307</v>
      </c>
    </row>
    <row r="76" spans="1:3" x14ac:dyDescent="0.25">
      <c r="B76" s="85"/>
      <c r="C76" s="85" t="s">
        <v>308</v>
      </c>
    </row>
    <row r="77" spans="1:3" x14ac:dyDescent="0.25">
      <c r="B77" s="85"/>
      <c r="C77" s="85" t="s">
        <v>309</v>
      </c>
    </row>
    <row r="78" spans="1:3" x14ac:dyDescent="0.25">
      <c r="B78" s="85"/>
      <c r="C78" s="85" t="s">
        <v>304</v>
      </c>
    </row>
    <row r="79" spans="1:3" x14ac:dyDescent="0.25">
      <c r="B79" s="85"/>
      <c r="C79" s="85" t="s">
        <v>280</v>
      </c>
    </row>
    <row r="80" spans="1:3" x14ac:dyDescent="0.25">
      <c r="B80" s="85"/>
      <c r="C80" s="85" t="s">
        <v>305</v>
      </c>
    </row>
    <row r="81" spans="1:3" x14ac:dyDescent="0.25">
      <c r="B81" s="85" t="s">
        <v>277</v>
      </c>
    </row>
    <row r="82" spans="1:3" x14ac:dyDescent="0.25">
      <c r="B82" s="85"/>
      <c r="C82" s="85" t="s">
        <v>263</v>
      </c>
    </row>
    <row r="83" spans="1:3" x14ac:dyDescent="0.25">
      <c r="B83" s="85"/>
      <c r="C83" s="85" t="s">
        <v>264</v>
      </c>
    </row>
    <row r="84" spans="1:3" x14ac:dyDescent="0.25">
      <c r="B84" s="85"/>
      <c r="C84" s="85" t="s">
        <v>265</v>
      </c>
    </row>
    <row r="85" spans="1:3" x14ac:dyDescent="0.25">
      <c r="B85" s="85"/>
      <c r="C85" s="85" t="s">
        <v>279</v>
      </c>
    </row>
    <row r="86" spans="1:3" x14ac:dyDescent="0.25">
      <c r="B86" s="85"/>
      <c r="C86" s="85" t="s">
        <v>281</v>
      </c>
    </row>
    <row r="87" spans="1:3" x14ac:dyDescent="0.25">
      <c r="B87" s="85"/>
      <c r="C87" s="85" t="s">
        <v>282</v>
      </c>
    </row>
    <row r="88" spans="1:3" x14ac:dyDescent="0.25">
      <c r="B88" s="85"/>
    </row>
    <row r="89" spans="1:3" ht="13" x14ac:dyDescent="0.3">
      <c r="A89" s="219" t="s">
        <v>259</v>
      </c>
    </row>
    <row r="90" spans="1:3" x14ac:dyDescent="0.25">
      <c r="B90" s="85" t="s">
        <v>107</v>
      </c>
    </row>
    <row r="91" spans="1:3" x14ac:dyDescent="0.25">
      <c r="B91" s="85" t="s">
        <v>116</v>
      </c>
    </row>
    <row r="92" spans="1:3" x14ac:dyDescent="0.25">
      <c r="B92" s="85"/>
      <c r="C92" t="s">
        <v>110</v>
      </c>
    </row>
    <row r="93" spans="1:3" x14ac:dyDescent="0.25">
      <c r="B93" s="85" t="s">
        <v>124</v>
      </c>
    </row>
    <row r="94" spans="1:3" x14ac:dyDescent="0.25">
      <c r="B94" s="85" t="s">
        <v>251</v>
      </c>
    </row>
    <row r="95" spans="1:3" x14ac:dyDescent="0.25">
      <c r="B95" s="85" t="s">
        <v>252</v>
      </c>
    </row>
    <row r="96" spans="1:3" x14ac:dyDescent="0.25">
      <c r="B96" s="85" t="s">
        <v>310</v>
      </c>
    </row>
    <row r="97" spans="1:3" x14ac:dyDescent="0.25">
      <c r="C97" s="85" t="s">
        <v>311</v>
      </c>
    </row>
    <row r="98" spans="1:3" x14ac:dyDescent="0.25">
      <c r="C98" s="85"/>
    </row>
    <row r="99" spans="1:3" ht="13" hidden="1" x14ac:dyDescent="0.3">
      <c r="A99" s="219" t="s">
        <v>260</v>
      </c>
    </row>
    <row r="100" spans="1:3" hidden="1" x14ac:dyDescent="0.25">
      <c r="B100" s="85" t="s">
        <v>283</v>
      </c>
    </row>
    <row r="101" spans="1:3" hidden="1" x14ac:dyDescent="0.25">
      <c r="C101" s="85" t="s">
        <v>284</v>
      </c>
    </row>
    <row r="102" spans="1:3" hidden="1" x14ac:dyDescent="0.25">
      <c r="B102" s="85" t="s">
        <v>227</v>
      </c>
    </row>
    <row r="103" spans="1:3" hidden="1" x14ac:dyDescent="0.25">
      <c r="B103" s="85" t="s">
        <v>228</v>
      </c>
    </row>
    <row r="104" spans="1:3" hidden="1" x14ac:dyDescent="0.25">
      <c r="B104" s="85" t="s">
        <v>226</v>
      </c>
    </row>
    <row r="105" spans="1:3" hidden="1" x14ac:dyDescent="0.25">
      <c r="B105" s="85" t="s">
        <v>253</v>
      </c>
    </row>
    <row r="106" spans="1:3" hidden="1" x14ac:dyDescent="0.25">
      <c r="B106" s="85" t="s">
        <v>299</v>
      </c>
    </row>
    <row r="107" spans="1:3" hidden="1" x14ac:dyDescent="0.25">
      <c r="B107" s="267" t="s">
        <v>242</v>
      </c>
    </row>
    <row r="108" spans="1:3" hidden="1" x14ac:dyDescent="0.25">
      <c r="C108" s="85" t="s">
        <v>300</v>
      </c>
    </row>
    <row r="109" spans="1:3" hidden="1" x14ac:dyDescent="0.25">
      <c r="B109" s="85" t="s">
        <v>254</v>
      </c>
    </row>
    <row r="110" spans="1:3" hidden="1" x14ac:dyDescent="0.25">
      <c r="B110" s="85" t="s">
        <v>255</v>
      </c>
    </row>
    <row r="112" spans="1:3" ht="13" x14ac:dyDescent="0.3">
      <c r="A112" s="219" t="s">
        <v>287</v>
      </c>
    </row>
    <row r="113" spans="2:3" x14ac:dyDescent="0.25">
      <c r="B113" s="85" t="s">
        <v>288</v>
      </c>
    </row>
    <row r="114" spans="2:3" x14ac:dyDescent="0.25">
      <c r="C114" s="85" t="s">
        <v>289</v>
      </c>
    </row>
    <row r="115" spans="2:3" x14ac:dyDescent="0.25">
      <c r="B115" s="85" t="s">
        <v>312</v>
      </c>
      <c r="C115" s="85"/>
    </row>
    <row r="116" spans="2:3" ht="14.5" x14ac:dyDescent="0.35">
      <c r="B116" s="296" t="s">
        <v>290</v>
      </c>
    </row>
    <row r="117" spans="2:3" x14ac:dyDescent="0.25">
      <c r="C117" s="85" t="s">
        <v>291</v>
      </c>
    </row>
    <row r="118" spans="2:3" x14ac:dyDescent="0.25">
      <c r="C118" s="85" t="s">
        <v>298</v>
      </c>
    </row>
    <row r="119" spans="2:3" x14ac:dyDescent="0.25">
      <c r="C119" s="85" t="s">
        <v>297</v>
      </c>
    </row>
    <row r="120" spans="2:3" x14ac:dyDescent="0.25">
      <c r="C120" s="85" t="s">
        <v>292</v>
      </c>
    </row>
    <row r="121" spans="2:3" x14ac:dyDescent="0.25">
      <c r="C121" t="s">
        <v>293</v>
      </c>
    </row>
    <row r="122" spans="2:3" ht="14.5" x14ac:dyDescent="0.35">
      <c r="B122" s="296" t="s">
        <v>294</v>
      </c>
    </row>
    <row r="123" spans="2:3" x14ac:dyDescent="0.25">
      <c r="C123" s="85" t="s">
        <v>295</v>
      </c>
    </row>
    <row r="124" spans="2:3" x14ac:dyDescent="0.25">
      <c r="C124" t="s">
        <v>296</v>
      </c>
    </row>
    <row r="125" spans="2:3" x14ac:dyDescent="0.25">
      <c r="C125" s="85" t="s">
        <v>313</v>
      </c>
    </row>
    <row r="126" spans="2:3" x14ac:dyDescent="0.25">
      <c r="C126" s="85" t="s">
        <v>314</v>
      </c>
    </row>
    <row r="127" spans="2:3" x14ac:dyDescent="0.25">
      <c r="C127" s="85" t="s">
        <v>315</v>
      </c>
    </row>
    <row r="129" spans="3:3" x14ac:dyDescent="0.25">
      <c r="C129" s="309" t="s">
        <v>320</v>
      </c>
    </row>
    <row r="130" spans="3:3" x14ac:dyDescent="0.25">
      <c r="C130" s="309" t="s">
        <v>328</v>
      </c>
    </row>
  </sheetData>
  <sheetProtection sheet="1" objects="1" scenarios="1"/>
  <pageMargins left="0.5" right="0.5" top="0.5" bottom="0.5" header="0.3" footer="0.3"/>
  <pageSetup scale="96" orientation="portrait" r:id="rId1"/>
  <headerFooter>
    <oddHeader>&amp;LEligibility Worksheet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N96"/>
  <sheetViews>
    <sheetView zoomScaleNormal="100" workbookViewId="0">
      <selection activeCell="W2" sqref="W2"/>
    </sheetView>
  </sheetViews>
  <sheetFormatPr defaultColWidth="9.08984375" defaultRowHeight="12.5" x14ac:dyDescent="0.25"/>
  <cols>
    <col min="1" max="1" width="23.54296875" style="1" customWidth="1"/>
    <col min="2" max="2" width="5.90625" style="1" customWidth="1"/>
    <col min="3" max="3" width="1.36328125" style="1" customWidth="1"/>
    <col min="4" max="4" width="6.90625" style="1" customWidth="1"/>
    <col min="5" max="5" width="2.08984375" style="1" customWidth="1"/>
    <col min="6" max="6" width="9.08984375" style="1" customWidth="1"/>
    <col min="7" max="7" width="1.36328125" style="1" customWidth="1"/>
    <col min="8" max="8" width="11.08984375" style="1" customWidth="1"/>
    <col min="9" max="9" width="8.90625" style="1" customWidth="1"/>
    <col min="10" max="10" width="1.453125" style="1" customWidth="1"/>
    <col min="11" max="11" width="7.36328125" style="1" customWidth="1"/>
    <col min="12" max="12" width="1.6328125" style="1" customWidth="1"/>
    <col min="13" max="13" width="8.54296875" style="1" customWidth="1"/>
    <col min="14" max="14" width="1.6328125" style="1" customWidth="1"/>
    <col min="15" max="15" width="9.453125" style="1" customWidth="1"/>
    <col min="16" max="16" width="8.90625" style="1" customWidth="1"/>
    <col min="17" max="17" width="2.36328125" style="1" customWidth="1"/>
    <col min="18" max="18" width="12" style="1" customWidth="1"/>
    <col min="19" max="19" width="9.453125" style="1" customWidth="1"/>
    <col min="20" max="20" width="1.90625" style="1" customWidth="1"/>
    <col min="21" max="21" width="9.453125" style="1" customWidth="1"/>
    <col min="22" max="22" width="3.08984375" style="1" customWidth="1"/>
    <col min="23" max="23" width="10.453125" style="1" customWidth="1"/>
    <col min="24" max="26" width="12.6328125" style="1" customWidth="1"/>
    <col min="27" max="27" width="10.453125" style="1" customWidth="1"/>
    <col min="28" max="28" width="16.08984375" style="1" customWidth="1"/>
    <col min="29" max="29" width="12.6328125" style="1" customWidth="1"/>
    <col min="30" max="30" width="12.6328125" style="1" hidden="1" customWidth="1"/>
    <col min="31" max="32" width="9.08984375" style="1" hidden="1" customWidth="1"/>
    <col min="33" max="33" width="11.90625" style="1" hidden="1" customWidth="1"/>
    <col min="34" max="34" width="15.6328125" style="1" hidden="1" customWidth="1"/>
    <col min="35" max="35" width="13.54296875" style="1" hidden="1" customWidth="1"/>
    <col min="36" max="36" width="6.90625" style="1" hidden="1" customWidth="1"/>
    <col min="37" max="37" width="12.6328125" style="1" hidden="1" customWidth="1"/>
    <col min="38" max="39" width="9.08984375" style="1" hidden="1" customWidth="1"/>
    <col min="40" max="40" width="13.90625" style="1" hidden="1" customWidth="1"/>
    <col min="41" max="41" width="9.08984375" style="1" customWidth="1"/>
    <col min="42" max="16384" width="9.08984375" style="1"/>
  </cols>
  <sheetData>
    <row r="1" spans="1:39" ht="31.5" customHeight="1" thickBot="1" x14ac:dyDescent="0.3">
      <c r="A1" s="371"/>
      <c r="B1" s="372"/>
      <c r="C1" s="372"/>
      <c r="D1" s="372"/>
      <c r="H1" s="373"/>
      <c r="I1" s="374"/>
      <c r="J1" s="374"/>
      <c r="K1" s="374"/>
      <c r="O1" s="371"/>
      <c r="P1" s="382"/>
      <c r="R1" s="317"/>
      <c r="S1" s="433">
        <f ca="1">TODAY()</f>
        <v>46038</v>
      </c>
      <c r="T1" s="434"/>
      <c r="U1" s="434"/>
      <c r="AE1" s="6" t="s">
        <v>26</v>
      </c>
      <c r="AF1" s="1" t="str">
        <f>IF(AG1="Cat 6","ADAP and MCM ONLY",AG1)</f>
        <v>&gt;400%, MCM ONLY</v>
      </c>
      <c r="AG1" s="1" t="str">
        <f>IF(AND(AI1=FALSE,AI2=FALSE),"&gt;400%, MCM ONLY",IF(AND(OR(NOT(AI2="Cat 6"),NOT(AI2=FALSE)),AI1=FALSE),AI2,IF(AND(OR(NOT(AI1="Cat 6"),NOT(AI1=FALSE)),AI2=FALSE),AI1,IF(OR(AI1="Cat 6",AI2="Cat 6"),"ADAP and MCM ONLY"))))</f>
        <v>&gt;400%, MCM ONLY</v>
      </c>
      <c r="AH1" s="13" t="s">
        <v>4</v>
      </c>
      <c r="AI1" s="1" t="b">
        <f>IF(NOT(AL2=FALSE()),AL2,IF(NOT(AL7=FALSE()),AL7,IF(NOT(AL8=FALSE()),AL8,IF(NOT(AL9=FALSE()),AL9,IF(NOT(AL10=FALSE()),AL10,IF(NOT(AL11=FALSE()),AL11,AL12))))))</f>
        <v>0</v>
      </c>
      <c r="AK1" s="1" t="s">
        <v>0</v>
      </c>
      <c r="AL1" s="1" t="s">
        <v>2</v>
      </c>
      <c r="AM1" s="1" t="s">
        <v>3</v>
      </c>
    </row>
    <row r="2" spans="1:39" ht="13" thickTop="1" x14ac:dyDescent="0.25">
      <c r="A2" s="375" t="s">
        <v>16</v>
      </c>
      <c r="B2" s="375"/>
      <c r="C2" s="375"/>
      <c r="D2" s="375"/>
      <c r="H2" s="375" t="s">
        <v>17</v>
      </c>
      <c r="I2" s="375"/>
      <c r="J2" s="375"/>
      <c r="K2" s="375"/>
      <c r="O2" s="243" t="s">
        <v>224</v>
      </c>
      <c r="P2" s="15"/>
      <c r="R2" s="312" t="s">
        <v>321</v>
      </c>
      <c r="S2" s="375" t="s">
        <v>18</v>
      </c>
      <c r="T2" s="435"/>
      <c r="U2" s="435"/>
      <c r="AH2" s="4" t="s">
        <v>5</v>
      </c>
      <c r="AI2" s="1" t="b">
        <f>IF(NOT(AL13=FALSE()),AL13,IF(R9&gt;8,AL14,FALSE()))</f>
        <v>0</v>
      </c>
      <c r="AK2" s="1">
        <v>1</v>
      </c>
      <c r="AL2" s="2" t="b">
        <f>IF(AND(R9=1,B28&lt;=D67),"Cat "&amp;B65,IF(AND(R9=1,B28&lt;=H67),"Cat "&amp;F65,IF(AND(R9=1,B28&lt;=K67),"Cat "&amp;I65,IF(AND(R9=1,B28&lt;=O67),"Cat "&amp;M65,IF(AND(R9=1,B28&lt;=R67),"Cat "&amp;P65,IF(AND(R9=1,B28&lt;=U67),"Cat "&amp;S65))))))</f>
        <v>0</v>
      </c>
      <c r="AM2" s="1" t="b">
        <f>IF(AND(R9=1,B53&lt;=D67),"Cat "&amp;B65,IF(AND(R9=1,B53&lt;=H67),"Cat "&amp;F65,IF(AND(R9=1,B53&lt;=K67),"Cat "&amp;I65,IF(AND(R9=1,B53&lt;=O67),"Cat "&amp;M65,IF(AND(R9=1,B53&lt;=R67),"Cat "&amp;P65,IF(AND(R9=1,B53&lt;=U67),"Cat "&amp;S65))))))</f>
        <v>0</v>
      </c>
    </row>
    <row r="3" spans="1:39" x14ac:dyDescent="0.25">
      <c r="A3" s="315"/>
      <c r="B3" s="315"/>
      <c r="C3" s="315"/>
      <c r="D3" s="315"/>
      <c r="H3" s="315"/>
      <c r="I3" s="315"/>
      <c r="J3" s="315"/>
      <c r="K3" s="315"/>
      <c r="O3" s="218"/>
      <c r="P3" s="17"/>
      <c r="R3" s="312"/>
      <c r="S3" s="315"/>
      <c r="T3" s="67"/>
      <c r="U3" s="67"/>
      <c r="AH3" s="4"/>
      <c r="AL3" s="2"/>
    </row>
    <row r="4" spans="1:39" ht="17.25" customHeight="1" thickBot="1" x14ac:dyDescent="0.3">
      <c r="A4" s="315"/>
      <c r="B4" s="315"/>
      <c r="C4" s="315"/>
      <c r="D4" s="315"/>
      <c r="H4" s="315"/>
      <c r="I4" s="315"/>
      <c r="J4" s="315"/>
      <c r="K4" s="315"/>
      <c r="O4" s="320"/>
      <c r="P4" s="321"/>
      <c r="R4" s="312"/>
      <c r="S4" s="315"/>
      <c r="T4" s="67"/>
      <c r="U4" s="67"/>
      <c r="AH4" s="4"/>
      <c r="AL4" s="2"/>
    </row>
    <row r="5" spans="1:39" ht="13" thickTop="1" x14ac:dyDescent="0.25">
      <c r="A5" s="315"/>
      <c r="B5" s="315"/>
      <c r="C5" s="315"/>
      <c r="D5" s="315"/>
      <c r="H5" s="315"/>
      <c r="I5" s="315"/>
      <c r="J5" s="315"/>
      <c r="K5" s="315"/>
      <c r="O5" s="218" t="s">
        <v>323</v>
      </c>
      <c r="P5" s="17"/>
      <c r="R5" s="312"/>
      <c r="S5" s="315"/>
      <c r="T5" s="67"/>
      <c r="U5" s="67"/>
      <c r="AH5" s="4"/>
      <c r="AL5" s="2"/>
    </row>
    <row r="6" spans="1:39" x14ac:dyDescent="0.25">
      <c r="A6" s="315"/>
      <c r="B6" s="315"/>
      <c r="C6" s="315"/>
      <c r="D6" s="315"/>
      <c r="H6" s="315"/>
      <c r="I6" s="315"/>
      <c r="J6" s="315"/>
      <c r="K6" s="315"/>
      <c r="O6" s="218"/>
      <c r="P6" s="17"/>
      <c r="R6" s="312"/>
      <c r="S6" s="315"/>
      <c r="T6" s="67"/>
      <c r="U6" s="67"/>
      <c r="AH6" s="4"/>
      <c r="AL6" s="2"/>
    </row>
    <row r="7" spans="1:39" ht="5.25" customHeight="1" thickBot="1" x14ac:dyDescent="0.3">
      <c r="A7" s="43"/>
      <c r="B7" s="43"/>
      <c r="C7" s="43"/>
      <c r="D7" s="44"/>
      <c r="H7" s="43"/>
      <c r="I7" s="43"/>
      <c r="J7" s="43"/>
      <c r="K7" s="44"/>
      <c r="R7" s="10"/>
      <c r="S7" s="10"/>
      <c r="T7" s="10"/>
      <c r="AH7" s="4"/>
      <c r="AK7" s="1">
        <v>2</v>
      </c>
      <c r="AL7" s="10" t="b">
        <f>IF(AND(R9=2,B28&lt;=D68),"Cat "&amp;B65,IF(AND(R9=2,B28&lt;=H68),"Cat "&amp;F65,IF(AND(R9=2,B28&lt;=K68),"Cat "&amp;I65,IF(AND(R9=2,B28&lt;=O68),"Cat "&amp;M65,IF(AND(R9=2,B28&lt;=R68),"Cat "&amp;P65,IF(AND(R9=2,B28&lt;=U68),"Cat "&amp;S65))))))</f>
        <v>0</v>
      </c>
      <c r="AM7" s="1" t="b">
        <f>IF(AND(R9=2,B53&lt;=D68),"Cat "&amp;B65,IF(AND(R9=2,B53&lt;=H68),"Cat "&amp;F65,IF(AND(R9=2,B53&lt;=K68),"Cat "&amp;I65,IF(AND(R9=2,B53&lt;=O68),"Cat "&amp;M65,IF(AND(R9=2,B53&lt;=R68),"Cat "&amp;P65,IF(AND(R9=2,B53&lt;=U68),"Cat "&amp;S65))))))</f>
        <v>0</v>
      </c>
    </row>
    <row r="8" spans="1:39" ht="6.75" customHeight="1" thickTop="1" x14ac:dyDescent="0.25">
      <c r="A8" s="14"/>
      <c r="B8" s="63"/>
      <c r="C8" s="63"/>
      <c r="D8" s="15"/>
      <c r="E8" s="15"/>
      <c r="F8" s="15"/>
      <c r="G8" s="15"/>
      <c r="H8" s="15"/>
      <c r="I8" s="15"/>
      <c r="J8" s="15"/>
      <c r="K8" s="15"/>
      <c r="L8" s="15"/>
      <c r="M8" s="15"/>
      <c r="N8" s="15"/>
      <c r="O8" s="30"/>
      <c r="P8" s="30"/>
      <c r="Q8" s="30"/>
      <c r="R8" s="15"/>
      <c r="S8" s="15"/>
      <c r="T8" s="15"/>
      <c r="U8" s="35"/>
      <c r="AE8" s="6" t="s">
        <v>20</v>
      </c>
      <c r="AF8" s="1" t="str">
        <f>IF(AG8="Cat 6","ADAP and MCM ONLY",AG8)</f>
        <v>INCOME EXCEEDED</v>
      </c>
      <c r="AG8" s="1" t="str">
        <f>IF(AND(AI8=FALSE,AI9=FALSE),"INCOME EXCEEDED",IF(AI8=FALSE,AI9,AI8))</f>
        <v>INCOME EXCEEDED</v>
      </c>
      <c r="AH8" s="4" t="s">
        <v>4</v>
      </c>
      <c r="AI8" s="1" t="b">
        <f>IF(NOT(AM2=FALSE()),AM2,IF(NOT(AM7=FALSE()),AM7,IF(NOT(AM8=FALSE()),AM8,IF(NOT(AM9=FALSE()),AM9,IF(NOT(AM10=FALSE()),AM10,IF(NOT(AM11=FALSE()),AM11,AM12))))))</f>
        <v>0</v>
      </c>
      <c r="AK8" s="1">
        <v>3</v>
      </c>
      <c r="AL8" s="2" t="b">
        <f>IF(AND(R9=3,B28&lt;=D69),"Cat "&amp;B65,IF(AND(R9=3,B28&lt;=H69),"Cat "&amp;F65,IF(AND(R9=3,B28&lt;=K69),"Cat "&amp;I65,IF(AND(R9=3,B28&lt;=O69),"Cat "&amp;M65,IF(AND(R9=3,B28&lt;=R69),"Cat "&amp;P65,IF(AND(R9=3,B28&lt;=U69),"Cat "&amp;S65))))))</f>
        <v>0</v>
      </c>
      <c r="AM8" s="3" t="b">
        <f>IF(AND(R9=3,B53&lt;=D69),"Cat "&amp;B65,IF(AND(R9=3,B53&lt;=H69),"Cat "&amp;F65,IF(AND(R9=3,B53&lt;=K69),"Cat "&amp;I65,IF(AND(R9=3,B53&lt;=O69),"Cat "&amp;M65,IF(AND(R9=3,B53&lt;=R69),"Cat "&amp;P65,IF(AND(R9=3,B53&lt;=U69),"Cat "&amp;S65))))))</f>
        <v>0</v>
      </c>
    </row>
    <row r="9" spans="1:39" ht="25" x14ac:dyDescent="0.25">
      <c r="A9" s="36" t="s">
        <v>126</v>
      </c>
      <c r="B9" s="64"/>
      <c r="C9" s="64"/>
      <c r="D9" s="11"/>
      <c r="E9" s="17"/>
      <c r="F9" s="17"/>
      <c r="G9" s="17"/>
      <c r="H9" s="17"/>
      <c r="I9" s="17"/>
      <c r="J9" s="17"/>
      <c r="K9" s="17"/>
      <c r="L9" s="17"/>
      <c r="M9" s="17"/>
      <c r="N9" s="17"/>
      <c r="O9" s="436" t="s">
        <v>21</v>
      </c>
      <c r="P9" s="437"/>
      <c r="Q9" s="427"/>
      <c r="R9" s="112"/>
      <c r="S9" s="140"/>
      <c r="T9" s="140"/>
      <c r="U9" s="141"/>
      <c r="AH9" s="4" t="s">
        <v>5</v>
      </c>
      <c r="AI9" s="1" t="b">
        <f>IF(NOT(AM13=FALSE()),AM13,IF(R9&gt;8,AM14,FALSE()))</f>
        <v>0</v>
      </c>
      <c r="AK9" s="1">
        <v>4</v>
      </c>
      <c r="AL9" s="2" t="b">
        <f>IF(AND(R9=4,B28&lt;=D70),"Cat "&amp;B65,IF(AND(R9=4,B28&lt;=H70),"Cat "&amp;F65,IF(AND(R9=4,B28&lt;=K70),"Cat "&amp;I65,IF(AND(R9=4,B28&lt;=O70),"Cat "&amp;M65,IF(AND(R9=4,B28&lt;=R70),"Cat "&amp;P65,IF(AND(R9=4,B28&lt;=U70),"Cat "&amp;S65))))))</f>
        <v>0</v>
      </c>
      <c r="AM9" s="2" t="b">
        <f>IF(AND(R9=4,B53&lt;=D70),"Cat "&amp;B65,IF(AND(R9=4,B53&lt;=H70),"Cat "&amp;F65,IF(AND(R9=4,B53&lt;=K70),"Cat "&amp;I65,IF(AND(R9=4,B53&lt;=O70),"Cat "&amp;M65,IF(AND(R9=4,B53&lt;=R70),"Cat "&amp;P65,IF(AND(R9=4,B53&lt;=U70),"Cat "&amp;S65))))))</f>
        <v>0</v>
      </c>
    </row>
    <row r="10" spans="1:39" ht="5.25" customHeight="1" thickBot="1" x14ac:dyDescent="0.3">
      <c r="A10" s="31"/>
      <c r="B10" s="65"/>
      <c r="C10" s="65"/>
      <c r="D10" s="11"/>
      <c r="E10" s="17"/>
      <c r="F10" s="17"/>
      <c r="G10" s="17"/>
      <c r="H10" s="17"/>
      <c r="I10" s="17"/>
      <c r="J10" s="17"/>
      <c r="K10" s="17"/>
      <c r="L10" s="17"/>
      <c r="M10" s="17"/>
      <c r="N10" s="17"/>
      <c r="O10" s="17"/>
      <c r="P10" s="17"/>
      <c r="Q10" s="17"/>
      <c r="R10" s="17"/>
      <c r="S10" s="12"/>
      <c r="T10" s="12"/>
      <c r="U10" s="71"/>
      <c r="AE10" s="6" t="s">
        <v>33</v>
      </c>
      <c r="AF10" s="6"/>
      <c r="AG10" s="6" t="str">
        <f>IF(OR(AF1="ADAP and MCM ONLY",AF1="INCOME EXCEEDED"),"N/A",IF(OR(AF1="Cat 1",AF1="Cat 2",AF1="Cat 3",AF1="Cat 4",AF1="Cat 5"),AF1,"N/A"))</f>
        <v>N/A</v>
      </c>
      <c r="AK10" s="1">
        <v>5</v>
      </c>
      <c r="AL10" s="2" t="b">
        <f>IF(AND(R9=5,B28&lt;=D71),"Cat "&amp;B65,IF(AND(R9=5,B28&lt;=H71),"Cat "&amp;F65,IF(AND(R9=5,B28&lt;=K71),"Cat "&amp;I65,IF(AND(R9=5,B28&lt;=O71),"Cat "&amp;M65,IF(AND(R9=5,B28&lt;=R71),"Cat "&amp;P65,IF(AND(R9=5,B28&lt;=U71),"Cat "&amp;S65))))))</f>
        <v>0</v>
      </c>
      <c r="AM10" s="2" t="b">
        <f>IF(AND(R9=5,B53&lt;=D71),"Cat "&amp;B65,IF(AND(R9=5,B53&lt;=H71),"Cat "&amp;F65,IF(AND(R9=5,B53&lt;=K71),"Cat "&amp;I65,IF(AND(R9=5,B53&lt;=O71),"Cat "&amp;M65,IF(AND(R9=5,B53&lt;=R71),"Cat "&amp;P65,IF(AND(R9=5,B53&lt;=U71),"Cat "&amp;S65))))))</f>
        <v>0</v>
      </c>
    </row>
    <row r="11" spans="1:39" ht="27" customHeight="1" thickBot="1" x14ac:dyDescent="0.3">
      <c r="A11" s="32" t="s">
        <v>19</v>
      </c>
      <c r="B11" s="377" t="s">
        <v>20</v>
      </c>
      <c r="C11" s="378"/>
      <c r="D11" s="378"/>
      <c r="E11" s="378"/>
      <c r="F11" s="380" t="s">
        <v>206</v>
      </c>
      <c r="G11" s="378"/>
      <c r="H11" s="378"/>
      <c r="I11" s="380" t="s">
        <v>207</v>
      </c>
      <c r="J11" s="378"/>
      <c r="K11" s="378"/>
      <c r="L11" s="378"/>
      <c r="M11" s="380" t="s">
        <v>208</v>
      </c>
      <c r="N11" s="378"/>
      <c r="O11" s="378"/>
      <c r="P11" s="380" t="s">
        <v>209</v>
      </c>
      <c r="Q11" s="378"/>
      <c r="R11" s="378"/>
      <c r="S11" s="428" t="s">
        <v>210</v>
      </c>
      <c r="T11" s="379"/>
      <c r="U11" s="429"/>
      <c r="AH11" s="1" t="s">
        <v>6</v>
      </c>
      <c r="AI11" s="2" t="b">
        <f>IF(B28&lt;B26,"ERROR",IF(AI8=FALSE(),AI9,AI8))</f>
        <v>0</v>
      </c>
      <c r="AK11" s="1">
        <v>6</v>
      </c>
      <c r="AL11" s="2" t="b">
        <f>IF(AND(R9=6,B28&lt;=D72),"Cat "&amp;B65,IF(AND(R9=6,B28&lt;=H72),"Cat "&amp;F65,IF(AND(R9=6,B28&lt;=K72),"Cat "&amp;I65,IF(AND(R9=6,B28&lt;=O72),"Cat "&amp;M65,IF(AND(R9=6,B28&lt;=R72),"Cat "&amp;P65,IF(AND(R9=6,B28&lt;=U72),"Cat "&amp;S65))))))</f>
        <v>0</v>
      </c>
      <c r="AM11" s="2" t="b">
        <f>IF(AND(R9=6,B53&lt;=D72),"Cat "&amp;B65,IF(AND(R9=6,B53&lt;=H72),"Cat "&amp;F65,IF(AND(R9=6,B53&lt;=K72),"Cat "&amp;I65,IF(AND(R9=6,B53&lt;=O72),"Cat "&amp;M65,IF(AND(R9=6,B53&lt;=R72),"Cat "&amp;P65,IF(AND(R9=6,B53&lt;=U72),"Cat "&amp;S65))))))</f>
        <v>0</v>
      </c>
    </row>
    <row r="12" spans="1:39" ht="15.75" customHeight="1" x14ac:dyDescent="0.25">
      <c r="A12" s="39"/>
      <c r="B12" s="379"/>
      <c r="C12" s="379"/>
      <c r="D12" s="379"/>
      <c r="E12" s="379"/>
      <c r="F12" s="379"/>
      <c r="G12" s="379"/>
      <c r="H12" s="379"/>
      <c r="I12" s="379"/>
      <c r="J12" s="379"/>
      <c r="K12" s="379"/>
      <c r="L12" s="379"/>
      <c r="M12" s="379"/>
      <c r="N12" s="379"/>
      <c r="O12" s="379"/>
      <c r="P12" s="379"/>
      <c r="Q12" s="379"/>
      <c r="R12" s="379"/>
      <c r="S12" s="430" t="s">
        <v>42</v>
      </c>
      <c r="T12" s="431"/>
      <c r="U12" s="432"/>
      <c r="AE12" s="6" t="s">
        <v>34</v>
      </c>
      <c r="AF12" s="6"/>
      <c r="AG12" s="1" t="str">
        <f>IF(AG10="N/A","N/A",IF(AI11="Cat 1",B26*B61,IF(AI11="Cat 2",B26*F61,IF(AI11="Cat 3",B26*I61,IF(AI11="Cat 4",B26*M61,IF(AI11="Cat 5",B26*P61,IF(AG10="N/A","N/A","N/A")))))))</f>
        <v>N/A</v>
      </c>
      <c r="AH12" s="6" t="s">
        <v>12</v>
      </c>
      <c r="AI12" s="8">
        <f>IF(B59="Cat 1",B61,IF(B59="Cat 2",F61,IF(B59="Cat 3",I61,IF(B59="Cat 4",M61,IF(B59="Cat 5",P61,IF(B59="Cat 6",S61,0))))))</f>
        <v>0</v>
      </c>
      <c r="AK12" s="1">
        <v>7</v>
      </c>
      <c r="AL12" s="2" t="b">
        <f>IF(AND(R9=7,B28&lt;=D73),"Cat "&amp;B65,IF(AND(R9=7,B28&lt;=H73),"Cat "&amp;F65,IF(AND(R9=7,B28&lt;=K73),"Cat "&amp;I65,IF(AND(R9=7,B28&lt;=O73),"Cat "&amp;M65,IF(AND(R9=7,B28&lt;=R73),"Cat "&amp;P65,IF(AND(R9=7,B28&lt;=U73),"Cat "&amp;S65))))))</f>
        <v>0</v>
      </c>
      <c r="AM12" s="2" t="b">
        <f>IF(AND(R9=7,B53&lt;=D73),"Cat "&amp;B65,IF(AND(R9=7,B53&lt;=H73),"Cat "&amp;F65,IF(AND(R9=7,B53&lt;=K73),"Cat "&amp;I65,IF(AND(R9=7,B53&lt;=O73),"Cat "&amp;M65,IF(AND(R9=7,B53&lt;=R73),"Cat "&amp;P65,IF(AND(R9=7,B53&lt;=U73),"Cat "&amp;S65))))))</f>
        <v>0</v>
      </c>
    </row>
    <row r="13" spans="1:39" x14ac:dyDescent="0.25">
      <c r="A13" s="39" t="s">
        <v>27</v>
      </c>
      <c r="B13" s="363"/>
      <c r="C13" s="364"/>
      <c r="D13" s="364"/>
      <c r="E13" s="364"/>
      <c r="F13" s="364"/>
      <c r="G13" s="364"/>
      <c r="H13" s="364"/>
      <c r="I13" s="364"/>
      <c r="J13" s="364"/>
      <c r="K13" s="364"/>
      <c r="L13" s="364"/>
      <c r="M13" s="364"/>
      <c r="N13" s="364"/>
      <c r="O13" s="364"/>
      <c r="P13" s="364"/>
      <c r="Q13" s="364"/>
      <c r="R13" s="364"/>
      <c r="S13" s="364"/>
      <c r="T13" s="364"/>
      <c r="U13" s="425"/>
      <c r="AK13" s="1">
        <v>8</v>
      </c>
      <c r="AL13" s="2" t="b">
        <f>IF(AND(R9=8,B28&lt;=D74),"Cat "&amp;B65,IF(AND(R9=8,B28&lt;=H74),"Cat "&amp;F65,IF(AND(R9=8,B28&lt;=K74),"Cat "&amp;I65,IF(AND(R9=8,B28&lt;=O74),"Cat "&amp;M65,IF(AND(R9=8,B28&lt;=R74),"Cat "&amp;P65,IF(AND(R9=8,B28&lt;=U74),"Cat "&amp;S65))))))</f>
        <v>0</v>
      </c>
      <c r="AM13" s="2" t="b">
        <f>IF(AND(R9=8,B53&lt;=D74),"Cat "&amp;B65,IF(AND(R9=8,B53&lt;=H74),"Cat "&amp;F65,IF(AND(R9=8,B53&lt;=K74),"Cat "&amp;I65,IF(AND(R9=8,B53&lt;=O74),"Cat "&amp;M65,IF(AND(R9=8,B53&lt;=R74),"Cat "&amp;P65,IF(AND(R9=8,B53&lt;=U74),"Cat "&amp;S65))))))</f>
        <v>0</v>
      </c>
    </row>
    <row r="14" spans="1:39" ht="25.5" x14ac:dyDescent="0.3">
      <c r="A14" s="227" t="s">
        <v>203</v>
      </c>
      <c r="B14" s="381"/>
      <c r="C14" s="368"/>
      <c r="D14" s="368"/>
      <c r="E14" s="369"/>
      <c r="F14" s="367"/>
      <c r="G14" s="368"/>
      <c r="H14" s="369"/>
      <c r="I14" s="367"/>
      <c r="J14" s="368"/>
      <c r="K14" s="368"/>
      <c r="L14" s="369"/>
      <c r="M14" s="367"/>
      <c r="N14" s="368"/>
      <c r="O14" s="369"/>
      <c r="P14" s="367"/>
      <c r="Q14" s="368"/>
      <c r="R14" s="369"/>
      <c r="S14" s="367"/>
      <c r="T14" s="368"/>
      <c r="U14" s="370"/>
      <c r="AE14" s="6"/>
      <c r="AF14" s="6"/>
      <c r="AG14" s="42"/>
      <c r="AK14" s="5" t="s">
        <v>1</v>
      </c>
      <c r="AL14" s="1" t="b">
        <f>IF(AND(R9&gt;8,B28&lt;=D76),"Cat "&amp;B65,IF(AND(R9&gt;8,B28&lt;=H76),"Cat "&amp;F65,IF(AND(R9&gt;8,B28&lt;=K76),"Cat "&amp;I65,IF(AND(R9&gt;8,B28&lt;=O76),"Cat "&amp;M65,IF(AND(R9&gt;8,B28&lt;=R76),"Cat "&amp;P65,IF(AND(R9&gt;8,B28&lt;=U76),"Cat "&amp;S65,IF(AND(R9&gt;8,B28&lt;=U76),"Cat "&amp;S65)))))))</f>
        <v>0</v>
      </c>
      <c r="AM14" s="2" t="b">
        <f>IF(AND(R9&gt;8,B53&lt;=D76),"Cat "&amp;B65,IF(AND(R9&gt;8,B53&lt;=H76),"Cat "&amp;F65,IF(AND(R9&gt;8,B53&lt;=K76),"Cat "&amp;I65,IF(AND(R9&gt;8,B53&lt;=O76),"Cat "&amp;M65,IF(AND(R9&gt;8,B53&lt;=R76),"Cat "&amp;P65,IF(AND(R9&gt;8,B53&lt;=U76),"Cat "&amp;S65))))))</f>
        <v>0</v>
      </c>
    </row>
    <row r="15" spans="1:39" ht="25" x14ac:dyDescent="0.25">
      <c r="A15" s="291" t="s">
        <v>275</v>
      </c>
      <c r="B15" s="363"/>
      <c r="C15" s="364"/>
      <c r="D15" s="364"/>
      <c r="E15" s="364"/>
      <c r="F15" s="364"/>
      <c r="G15" s="364"/>
      <c r="H15" s="364"/>
      <c r="I15" s="364"/>
      <c r="J15" s="364"/>
      <c r="K15" s="364"/>
      <c r="L15" s="364"/>
      <c r="M15" s="364"/>
      <c r="N15" s="364"/>
      <c r="O15" s="364"/>
      <c r="P15" s="364"/>
      <c r="Q15" s="364"/>
      <c r="R15" s="364"/>
      <c r="S15" s="364"/>
      <c r="T15" s="364"/>
      <c r="U15" s="425"/>
      <c r="AE15" s="41"/>
    </row>
    <row r="16" spans="1:39" x14ac:dyDescent="0.25">
      <c r="A16" s="39" t="s">
        <v>13</v>
      </c>
      <c r="B16" s="363"/>
      <c r="C16" s="364"/>
      <c r="D16" s="364"/>
      <c r="E16" s="364"/>
      <c r="F16" s="364"/>
      <c r="G16" s="364"/>
      <c r="H16" s="364"/>
      <c r="I16" s="364"/>
      <c r="J16" s="364"/>
      <c r="K16" s="364"/>
      <c r="L16" s="364"/>
      <c r="M16" s="364"/>
      <c r="N16" s="364"/>
      <c r="O16" s="364"/>
      <c r="P16" s="364"/>
      <c r="Q16" s="364"/>
      <c r="R16" s="364"/>
      <c r="S16" s="364"/>
      <c r="T16" s="364"/>
      <c r="U16" s="425"/>
    </row>
    <row r="17" spans="1:29" x14ac:dyDescent="0.25">
      <c r="A17" s="39" t="s">
        <v>28</v>
      </c>
      <c r="B17" s="363"/>
      <c r="C17" s="364"/>
      <c r="D17" s="364"/>
      <c r="E17" s="364"/>
      <c r="F17" s="364"/>
      <c r="G17" s="364"/>
      <c r="H17" s="364"/>
      <c r="I17" s="364"/>
      <c r="J17" s="364"/>
      <c r="K17" s="364"/>
      <c r="L17" s="364"/>
      <c r="M17" s="364"/>
      <c r="N17" s="364"/>
      <c r="O17" s="364"/>
      <c r="P17" s="364"/>
      <c r="Q17" s="364"/>
      <c r="R17" s="364"/>
      <c r="S17" s="364"/>
      <c r="T17" s="364"/>
      <c r="U17" s="425"/>
      <c r="AC17" s="6"/>
    </row>
    <row r="18" spans="1:29" ht="28.5" customHeight="1" x14ac:dyDescent="0.25">
      <c r="A18" s="40" t="s">
        <v>29</v>
      </c>
      <c r="B18" s="363"/>
      <c r="C18" s="364"/>
      <c r="D18" s="364"/>
      <c r="E18" s="364"/>
      <c r="F18" s="364"/>
      <c r="G18" s="364"/>
      <c r="H18" s="364"/>
      <c r="I18" s="364"/>
      <c r="J18" s="364"/>
      <c r="K18" s="364"/>
      <c r="L18" s="364"/>
      <c r="M18" s="364"/>
      <c r="N18" s="364"/>
      <c r="O18" s="364"/>
      <c r="P18" s="364"/>
      <c r="Q18" s="364"/>
      <c r="R18" s="364"/>
      <c r="S18" s="364"/>
      <c r="T18" s="364"/>
      <c r="U18" s="425"/>
      <c r="AC18" s="6"/>
    </row>
    <row r="19" spans="1:29" x14ac:dyDescent="0.25">
      <c r="A19" s="39" t="s">
        <v>30</v>
      </c>
      <c r="B19" s="363"/>
      <c r="C19" s="364"/>
      <c r="D19" s="364"/>
      <c r="E19" s="364"/>
      <c r="F19" s="364"/>
      <c r="G19" s="364"/>
      <c r="H19" s="364"/>
      <c r="I19" s="364"/>
      <c r="J19" s="364"/>
      <c r="K19" s="364"/>
      <c r="L19" s="364"/>
      <c r="M19" s="364"/>
      <c r="N19" s="364"/>
      <c r="O19" s="364"/>
      <c r="P19" s="364"/>
      <c r="Q19" s="364"/>
      <c r="R19" s="364"/>
      <c r="S19" s="364"/>
      <c r="T19" s="364"/>
      <c r="U19" s="425"/>
    </row>
    <row r="20" spans="1:29" ht="25" x14ac:dyDescent="0.25">
      <c r="A20" s="40" t="s">
        <v>31</v>
      </c>
      <c r="B20" s="363"/>
      <c r="C20" s="364"/>
      <c r="D20" s="364"/>
      <c r="E20" s="364"/>
      <c r="F20" s="364"/>
      <c r="G20" s="364"/>
      <c r="H20" s="364"/>
      <c r="I20" s="364"/>
      <c r="J20" s="364"/>
      <c r="K20" s="364"/>
      <c r="L20" s="364"/>
      <c r="M20" s="364"/>
      <c r="N20" s="364"/>
      <c r="O20" s="364"/>
      <c r="P20" s="364"/>
      <c r="Q20" s="364"/>
      <c r="R20" s="364"/>
      <c r="S20" s="364"/>
      <c r="T20" s="364"/>
      <c r="U20" s="425"/>
    </row>
    <row r="21" spans="1:29" ht="27" customHeight="1" x14ac:dyDescent="0.25">
      <c r="A21" s="33" t="s">
        <v>32</v>
      </c>
      <c r="B21" s="363"/>
      <c r="C21" s="364"/>
      <c r="D21" s="364"/>
      <c r="E21" s="364"/>
      <c r="F21" s="364"/>
      <c r="G21" s="364"/>
      <c r="H21" s="364"/>
      <c r="I21" s="364"/>
      <c r="J21" s="364"/>
      <c r="K21" s="364"/>
      <c r="L21" s="364"/>
      <c r="M21" s="364"/>
      <c r="N21" s="364"/>
      <c r="O21" s="364"/>
      <c r="P21" s="364"/>
      <c r="Q21" s="364"/>
      <c r="R21" s="364"/>
      <c r="S21" s="364"/>
      <c r="T21" s="364"/>
      <c r="U21" s="425"/>
    </row>
    <row r="22" spans="1:29" x14ac:dyDescent="0.25">
      <c r="A22" s="39" t="s">
        <v>14</v>
      </c>
      <c r="B22" s="363"/>
      <c r="C22" s="364"/>
      <c r="D22" s="364"/>
      <c r="E22" s="364"/>
      <c r="F22" s="364"/>
      <c r="G22" s="364"/>
      <c r="H22" s="364"/>
      <c r="I22" s="364"/>
      <c r="J22" s="364"/>
      <c r="K22" s="364"/>
      <c r="L22" s="364"/>
      <c r="M22" s="364"/>
      <c r="N22" s="364"/>
      <c r="O22" s="364"/>
      <c r="P22" s="364"/>
      <c r="Q22" s="364"/>
      <c r="R22" s="364"/>
      <c r="S22" s="364"/>
      <c r="T22" s="364"/>
      <c r="U22" s="425"/>
    </row>
    <row r="23" spans="1:29" x14ac:dyDescent="0.25">
      <c r="A23" s="60" t="s">
        <v>41</v>
      </c>
      <c r="B23" s="363"/>
      <c r="C23" s="364"/>
      <c r="D23" s="364"/>
      <c r="E23" s="364"/>
      <c r="F23" s="364"/>
      <c r="G23" s="364"/>
      <c r="H23" s="364"/>
      <c r="I23" s="364"/>
      <c r="J23" s="364"/>
      <c r="K23" s="364"/>
      <c r="L23" s="364"/>
      <c r="M23" s="364"/>
      <c r="N23" s="364"/>
      <c r="O23" s="364"/>
      <c r="P23" s="364"/>
      <c r="Q23" s="364"/>
      <c r="R23" s="364"/>
      <c r="S23" s="364"/>
      <c r="T23" s="364"/>
      <c r="U23" s="425"/>
    </row>
    <row r="24" spans="1:29" ht="15" customHeight="1" thickBot="1" x14ac:dyDescent="0.3">
      <c r="A24" s="292"/>
      <c r="B24" s="390"/>
      <c r="C24" s="376"/>
      <c r="D24" s="376"/>
      <c r="E24" s="376"/>
      <c r="F24" s="376"/>
      <c r="G24" s="376"/>
      <c r="H24" s="376"/>
      <c r="I24" s="376"/>
      <c r="J24" s="376"/>
      <c r="K24" s="376"/>
      <c r="L24" s="376"/>
      <c r="M24" s="376"/>
      <c r="N24" s="376"/>
      <c r="O24" s="376"/>
      <c r="P24" s="376"/>
      <c r="Q24" s="376"/>
      <c r="R24" s="376"/>
      <c r="S24" s="376"/>
      <c r="T24" s="376"/>
      <c r="U24" s="439"/>
    </row>
    <row r="25" spans="1:29" ht="12" customHeight="1" thickBot="1" x14ac:dyDescent="0.3">
      <c r="A25" s="34"/>
      <c r="B25" s="17"/>
      <c r="C25" s="17"/>
      <c r="D25" s="18"/>
      <c r="E25" s="18"/>
      <c r="F25" s="18"/>
      <c r="G25" s="18"/>
      <c r="H25" s="18"/>
      <c r="I25" s="18"/>
      <c r="J25" s="18"/>
      <c r="K25" s="18"/>
      <c r="L25" s="18"/>
      <c r="M25" s="18"/>
      <c r="N25" s="18"/>
      <c r="O25" s="18"/>
      <c r="P25" s="228"/>
      <c r="Q25" s="228"/>
      <c r="R25" s="228"/>
      <c r="S25" s="18"/>
      <c r="T25" s="18"/>
      <c r="U25" s="19"/>
    </row>
    <row r="26" spans="1:29" ht="16.5" customHeight="1" thickBot="1" x14ac:dyDescent="0.3">
      <c r="A26" s="61" t="s">
        <v>35</v>
      </c>
      <c r="B26" s="391">
        <f>SUM(B13:E23)</f>
        <v>0</v>
      </c>
      <c r="C26" s="392"/>
      <c r="D26" s="392"/>
      <c r="E26" s="393"/>
      <c r="F26" s="391">
        <f>SUM(F13:H23)</f>
        <v>0</v>
      </c>
      <c r="G26" s="392"/>
      <c r="H26" s="393"/>
      <c r="I26" s="391">
        <f>SUM(I13:L23)</f>
        <v>0</v>
      </c>
      <c r="J26" s="392"/>
      <c r="K26" s="392"/>
      <c r="L26" s="393"/>
      <c r="M26" s="391">
        <f>SUM(M13:O23)</f>
        <v>0</v>
      </c>
      <c r="N26" s="392"/>
      <c r="O26" s="392"/>
      <c r="P26" s="391">
        <f>SUM(P13:R23)</f>
        <v>0</v>
      </c>
      <c r="Q26" s="392"/>
      <c r="R26" s="393"/>
      <c r="S26" s="440">
        <f>SUM(S13:U23)</f>
        <v>0</v>
      </c>
      <c r="T26" s="392"/>
      <c r="U26" s="441"/>
    </row>
    <row r="27" spans="1:29" ht="21.75" customHeight="1" thickBot="1" x14ac:dyDescent="0.3">
      <c r="A27" s="16"/>
      <c r="B27" s="17"/>
      <c r="C27" s="17"/>
      <c r="D27" s="18"/>
      <c r="E27" s="18"/>
      <c r="F27" s="18"/>
      <c r="G27" s="18"/>
      <c r="H27" s="18"/>
      <c r="I27" s="18"/>
      <c r="J27" s="18"/>
      <c r="K27" s="18"/>
      <c r="L27" s="18"/>
      <c r="M27" s="18"/>
      <c r="N27" s="18"/>
      <c r="O27" s="18"/>
      <c r="P27" s="18"/>
      <c r="Q27" s="18"/>
      <c r="R27" s="18"/>
      <c r="S27" s="72"/>
      <c r="T27" s="72"/>
      <c r="U27" s="73"/>
    </row>
    <row r="28" spans="1:29" ht="42" customHeight="1" thickBot="1" x14ac:dyDescent="0.3">
      <c r="A28" s="57" t="s">
        <v>56</v>
      </c>
      <c r="B28" s="394" t="str">
        <f>IF(R9&gt;0,SUM(B26:U26),"N/A")</f>
        <v>N/A</v>
      </c>
      <c r="C28" s="395"/>
      <c r="D28" s="395"/>
      <c r="E28" s="396"/>
      <c r="F28" s="68"/>
      <c r="I28" s="418" t="s">
        <v>55</v>
      </c>
      <c r="J28" s="419"/>
      <c r="K28" s="419"/>
      <c r="L28" s="56" t="str">
        <f>IF(AF1="Cat 1","= ",IF(AF1="Cat 2","= ",IF(AF1="Cat 3","= ",IF(AF1="Cat 4","= ",IF(AF1="Cat 5","= ","")))))</f>
        <v/>
      </c>
      <c r="M28" s="424" t="str">
        <f>IF(R9&lt;1,"Please enter Household Size",IF(AF1="Cat 1",B63,IF(AF1="Cat 2",F63,IF(AF1="Cat 3",I63,IF(AF1="Cat 4",M63,IF(AF1="Cat 5",P63,AF1))))))</f>
        <v>Please enter Household Size</v>
      </c>
      <c r="N28" s="395"/>
      <c r="O28" s="395"/>
      <c r="P28" s="396"/>
      <c r="Q28" s="68"/>
      <c r="R28" s="68"/>
      <c r="S28" s="68"/>
      <c r="T28" s="68"/>
      <c r="U28" s="20"/>
    </row>
    <row r="29" spans="1:29" ht="13" thickBot="1" x14ac:dyDescent="0.3">
      <c r="A29" s="21"/>
      <c r="B29" s="9"/>
      <c r="C29" s="9"/>
      <c r="D29" s="9"/>
      <c r="E29" s="9"/>
      <c r="F29" s="9"/>
      <c r="G29" s="9"/>
      <c r="H29" s="9"/>
      <c r="I29" s="9"/>
      <c r="J29" s="9"/>
      <c r="K29" s="9"/>
      <c r="L29" s="9"/>
      <c r="M29" s="9"/>
      <c r="N29" s="9"/>
      <c r="O29" s="9"/>
      <c r="P29" s="9"/>
      <c r="Q29" s="9"/>
      <c r="R29" s="9"/>
      <c r="S29" s="9"/>
      <c r="T29" s="9"/>
      <c r="U29" s="22"/>
    </row>
    <row r="30" spans="1:29" ht="13" thickTop="1" x14ac:dyDescent="0.25">
      <c r="A30" s="58" t="s">
        <v>43</v>
      </c>
      <c r="B30" s="17"/>
      <c r="C30" s="17"/>
      <c r="D30" s="17"/>
      <c r="E30" s="17"/>
      <c r="F30" s="17"/>
      <c r="G30" s="17"/>
      <c r="H30" s="17"/>
      <c r="I30" s="17"/>
      <c r="J30" s="17"/>
      <c r="K30" s="17"/>
      <c r="L30" s="17"/>
      <c r="M30" s="17"/>
      <c r="N30" s="17"/>
      <c r="O30" s="17"/>
      <c r="P30" s="17"/>
      <c r="Q30" s="17"/>
      <c r="R30" s="17"/>
      <c r="S30" s="17"/>
      <c r="T30" s="17"/>
    </row>
    <row r="31" spans="1:29" x14ac:dyDescent="0.25">
      <c r="A31" s="58" t="s">
        <v>54</v>
      </c>
      <c r="B31" s="58"/>
      <c r="C31" s="58"/>
      <c r="D31" s="17"/>
      <c r="E31" s="17"/>
      <c r="F31" s="17"/>
      <c r="G31" s="17"/>
      <c r="H31" s="17"/>
      <c r="I31" s="17"/>
      <c r="J31" s="17"/>
      <c r="K31" s="17"/>
      <c r="L31" s="17"/>
      <c r="M31" s="17"/>
      <c r="N31" s="17"/>
      <c r="O31" s="17"/>
      <c r="P31" s="17"/>
      <c r="Q31" s="17"/>
      <c r="R31" s="17"/>
      <c r="S31" s="17"/>
      <c r="T31" s="17"/>
    </row>
    <row r="32" spans="1:29" x14ac:dyDescent="0.25">
      <c r="A32" s="58" t="s">
        <v>146</v>
      </c>
      <c r="B32" s="58"/>
      <c r="C32" s="58"/>
      <c r="D32" s="17"/>
      <c r="E32" s="17"/>
      <c r="F32" s="17"/>
      <c r="G32" s="17"/>
      <c r="H32" s="17"/>
      <c r="I32" s="17"/>
      <c r="J32" s="17"/>
      <c r="K32" s="17"/>
      <c r="L32" s="17"/>
      <c r="M32" s="17"/>
      <c r="N32" s="17"/>
      <c r="O32" s="17"/>
      <c r="P32" s="17"/>
      <c r="Q32" s="17"/>
      <c r="R32" s="17"/>
      <c r="S32" s="17"/>
      <c r="T32" s="17"/>
    </row>
    <row r="33" spans="1:33" s="59" customFormat="1" x14ac:dyDescent="0.25">
      <c r="A33" s="59" t="s">
        <v>149</v>
      </c>
      <c r="B33" s="58"/>
      <c r="C33" s="58"/>
      <c r="D33" s="17"/>
      <c r="E33" s="17"/>
      <c r="F33" s="17"/>
      <c r="G33" s="17"/>
      <c r="H33" s="17"/>
      <c r="I33" s="17"/>
      <c r="J33" s="17"/>
      <c r="K33" s="17"/>
      <c r="L33" s="17"/>
      <c r="M33" s="17"/>
      <c r="N33" s="17"/>
      <c r="O33" s="17"/>
      <c r="P33" s="17"/>
      <c r="Q33" s="17"/>
      <c r="R33" s="17"/>
      <c r="S33" s="17"/>
      <c r="T33" s="17"/>
      <c r="U33" s="1"/>
    </row>
    <row r="34" spans="1:33" hidden="1" x14ac:dyDescent="0.25">
      <c r="A34" s="59" t="s">
        <v>147</v>
      </c>
      <c r="B34" s="59"/>
      <c r="C34" s="59"/>
      <c r="D34" s="17"/>
      <c r="E34" s="17"/>
      <c r="F34" s="17"/>
      <c r="G34" s="17"/>
      <c r="H34" s="17"/>
      <c r="I34" s="17"/>
      <c r="J34" s="17"/>
      <c r="K34" s="17"/>
      <c r="L34" s="17"/>
      <c r="M34" s="17"/>
      <c r="N34" s="17"/>
      <c r="O34" s="17"/>
      <c r="P34" s="17"/>
      <c r="Q34" s="17"/>
      <c r="R34" s="17"/>
      <c r="S34" s="17"/>
      <c r="T34" s="17"/>
    </row>
    <row r="35" spans="1:33" hidden="1" x14ac:dyDescent="0.25">
      <c r="A35" s="58" t="s">
        <v>117</v>
      </c>
      <c r="B35" s="59"/>
      <c r="C35" s="59"/>
      <c r="D35" s="58"/>
      <c r="E35" s="58"/>
      <c r="F35" s="58"/>
      <c r="G35" s="58"/>
      <c r="H35" s="58"/>
      <c r="I35" s="58"/>
      <c r="J35" s="58"/>
      <c r="K35" s="58"/>
      <c r="L35" s="58"/>
      <c r="M35" s="58"/>
      <c r="N35" s="58"/>
      <c r="O35" s="58"/>
      <c r="P35" s="58"/>
      <c r="Q35" s="58"/>
      <c r="R35" s="58"/>
      <c r="S35" s="58"/>
      <c r="T35" s="58"/>
    </row>
    <row r="36" spans="1:33" hidden="1" x14ac:dyDescent="0.25">
      <c r="A36" s="59" t="s">
        <v>125</v>
      </c>
      <c r="B36" s="59"/>
      <c r="C36" s="59"/>
      <c r="D36" s="17"/>
      <c r="E36" s="17"/>
      <c r="F36" s="17"/>
      <c r="G36" s="17"/>
      <c r="H36" s="17"/>
      <c r="I36" s="17"/>
      <c r="J36" s="17"/>
      <c r="K36" s="17"/>
      <c r="L36" s="17"/>
      <c r="M36" s="17"/>
      <c r="N36" s="17"/>
      <c r="O36" s="17"/>
      <c r="P36" s="17"/>
      <c r="Q36" s="17"/>
      <c r="R36" s="17"/>
      <c r="S36" s="17"/>
      <c r="T36" s="17"/>
      <c r="U36" s="59"/>
    </row>
    <row r="37" spans="1:33" x14ac:dyDescent="0.25">
      <c r="A37" s="58" t="s">
        <v>118</v>
      </c>
      <c r="B37" s="58"/>
      <c r="C37" s="58"/>
      <c r="D37" s="58"/>
      <c r="E37" s="58"/>
      <c r="F37" s="58"/>
      <c r="G37" s="58"/>
      <c r="H37" s="58"/>
      <c r="I37" s="58"/>
      <c r="J37" s="58"/>
      <c r="K37" s="58"/>
      <c r="L37" s="58"/>
      <c r="M37" s="58"/>
      <c r="N37" s="58"/>
      <c r="O37" s="58"/>
      <c r="P37" s="58"/>
      <c r="Q37" s="58"/>
      <c r="R37" s="58"/>
      <c r="S37" s="58"/>
      <c r="T37" s="58"/>
      <c r="U37" s="59"/>
      <c r="W37" s="312" t="s">
        <v>322</v>
      </c>
    </row>
    <row r="38" spans="1:33" x14ac:dyDescent="0.25">
      <c r="A38" s="59" t="s">
        <v>148</v>
      </c>
      <c r="B38" s="58"/>
      <c r="C38" s="58"/>
      <c r="D38" s="17"/>
      <c r="E38" s="17"/>
      <c r="F38" s="17"/>
      <c r="G38" s="17"/>
      <c r="H38" s="17"/>
      <c r="I38" s="17"/>
      <c r="J38" s="17"/>
      <c r="K38" s="17"/>
      <c r="L38" s="17"/>
      <c r="M38" s="17"/>
      <c r="N38" s="17"/>
      <c r="O38" s="17"/>
      <c r="P38" s="17"/>
      <c r="Q38" s="17"/>
      <c r="R38" s="17"/>
      <c r="S38" s="17"/>
      <c r="T38" s="17"/>
    </row>
    <row r="39" spans="1:33" x14ac:dyDescent="0.25">
      <c r="A39" s="59"/>
      <c r="B39" s="58"/>
      <c r="C39" s="58"/>
      <c r="D39" s="17"/>
      <c r="E39" s="17"/>
      <c r="F39" s="17"/>
      <c r="G39" s="17"/>
      <c r="H39" s="17"/>
      <c r="I39" s="17"/>
      <c r="J39" s="17"/>
      <c r="K39" s="17"/>
      <c r="L39" s="17"/>
      <c r="M39" s="17"/>
      <c r="N39" s="17"/>
      <c r="O39" s="17"/>
      <c r="P39" s="17"/>
      <c r="Q39" s="17"/>
      <c r="R39" s="17"/>
      <c r="S39" s="17"/>
      <c r="T39" s="17"/>
    </row>
    <row r="40" spans="1:33" x14ac:dyDescent="0.25">
      <c r="A40" s="58"/>
      <c r="B40" s="58"/>
      <c r="C40" s="58"/>
      <c r="D40" s="17"/>
      <c r="E40" s="17"/>
      <c r="F40" s="17"/>
      <c r="G40" s="17"/>
      <c r="H40" s="17"/>
      <c r="I40" s="17"/>
      <c r="J40" s="17"/>
      <c r="K40" s="17"/>
      <c r="L40" s="17"/>
      <c r="M40" s="17"/>
      <c r="N40" s="17"/>
      <c r="O40" s="17"/>
      <c r="P40" s="17"/>
      <c r="Q40" s="17"/>
      <c r="R40" s="17"/>
      <c r="S40" s="17"/>
      <c r="T40" s="17"/>
    </row>
    <row r="41" spans="1:33" ht="18" thickBot="1" x14ac:dyDescent="0.55000000000000004">
      <c r="A41" s="383"/>
      <c r="B41" s="383"/>
      <c r="C41" s="383"/>
      <c r="D41" s="383"/>
      <c r="E41" s="17"/>
      <c r="F41" s="17"/>
      <c r="G41" s="17"/>
      <c r="H41" s="17"/>
      <c r="I41" s="17"/>
      <c r="J41" s="17"/>
      <c r="K41" s="383"/>
      <c r="L41" s="383"/>
      <c r="M41" s="383"/>
      <c r="N41" s="383"/>
      <c r="O41" s="383"/>
      <c r="P41" s="383"/>
      <c r="Q41" s="17"/>
      <c r="R41" s="17"/>
      <c r="S41" s="17"/>
      <c r="T41" s="17"/>
      <c r="V41" s="17"/>
      <c r="W41" s="17"/>
      <c r="X41" s="17"/>
      <c r="Y41" s="17"/>
      <c r="Z41" s="17"/>
      <c r="AA41" s="17"/>
      <c r="AB41" s="17"/>
      <c r="AC41" s="17"/>
      <c r="AD41" s="17"/>
    </row>
    <row r="42" spans="1:33" x14ac:dyDescent="0.25">
      <c r="A42" s="45" t="s">
        <v>38</v>
      </c>
      <c r="B42" s="45"/>
      <c r="C42" s="45"/>
      <c r="D42" s="17"/>
      <c r="E42" s="17"/>
      <c r="F42" s="17"/>
      <c r="G42" s="17"/>
      <c r="K42" s="45" t="s">
        <v>39</v>
      </c>
      <c r="L42" s="17"/>
      <c r="M42" s="17"/>
      <c r="N42" s="17"/>
      <c r="O42" s="17"/>
      <c r="P42" s="69"/>
      <c r="Q42" s="69"/>
      <c r="R42" s="17"/>
      <c r="S42" s="17"/>
      <c r="T42" s="17"/>
      <c r="U42" s="74" t="s">
        <v>143</v>
      </c>
      <c r="V42" s="17"/>
      <c r="W42" s="17"/>
      <c r="X42" s="17"/>
      <c r="Y42" s="17"/>
      <c r="Z42" s="17"/>
      <c r="AA42" s="17"/>
      <c r="AB42" s="17"/>
      <c r="AC42" s="17"/>
      <c r="AD42" s="17"/>
    </row>
    <row r="43" spans="1:33" ht="20.25" customHeight="1" x14ac:dyDescent="0.25">
      <c r="P43" s="17"/>
      <c r="Q43" s="17"/>
      <c r="R43" s="17"/>
      <c r="S43" s="17"/>
      <c r="T43" s="17"/>
      <c r="V43" s="17"/>
      <c r="W43" s="17"/>
      <c r="X43" s="17"/>
      <c r="Y43" s="17"/>
      <c r="Z43" s="17"/>
      <c r="AA43" s="17"/>
      <c r="AB43" s="17"/>
      <c r="AC43" s="17"/>
      <c r="AD43" s="17"/>
    </row>
    <row r="44" spans="1:33" ht="44.25" customHeight="1" thickBot="1" x14ac:dyDescent="0.4">
      <c r="A44" s="410" t="str">
        <f>IF(AND(A1=0,H1=0),"Please fill out Name or Case Number",IF(A1=0,"",A1))</f>
        <v>Please fill out Name or Case Number</v>
      </c>
      <c r="B44" s="410"/>
      <c r="C44" s="410"/>
      <c r="D44" s="410"/>
      <c r="H44" s="397" t="str">
        <f>IF(AND(A1=0,H1=0),"Please fill out Name or Case Number",IF(H1=0,"",H1))</f>
        <v>Please fill out Name or Case Number</v>
      </c>
      <c r="I44" s="397"/>
      <c r="J44" s="397"/>
      <c r="K44" s="397"/>
      <c r="O44" s="411" t="str">
        <f>IF(O1="","Please enter Agency Initials",O1)</f>
        <v>Please enter Agency Initials</v>
      </c>
      <c r="P44" s="412"/>
      <c r="R44" s="311" t="str">
        <f>IF(R1="","Please enter Initials",R1)</f>
        <v>Please enter Initials</v>
      </c>
      <c r="T44" s="70"/>
      <c r="U44" s="442">
        <f ca="1">TODAY()</f>
        <v>46038</v>
      </c>
      <c r="V44" s="443"/>
      <c r="W44" s="17"/>
      <c r="X44" s="17"/>
      <c r="Y44" s="17"/>
      <c r="Z44" s="17"/>
      <c r="AA44" s="17"/>
      <c r="AB44" s="17"/>
      <c r="AC44" s="17"/>
      <c r="AD44" s="17"/>
      <c r="AG44" s="7"/>
    </row>
    <row r="45" spans="1:33" ht="13.5" customHeight="1" thickTop="1" x14ac:dyDescent="0.25">
      <c r="A45" s="375" t="s">
        <v>16</v>
      </c>
      <c r="B45" s="375"/>
      <c r="C45" s="375"/>
      <c r="D45" s="375"/>
      <c r="H45" s="375" t="s">
        <v>17</v>
      </c>
      <c r="I45" s="375"/>
      <c r="J45" s="375"/>
      <c r="K45" s="375"/>
      <c r="O45" s="413" t="s">
        <v>224</v>
      </c>
      <c r="P45" s="414"/>
      <c r="R45" s="218" t="s">
        <v>321</v>
      </c>
      <c r="S45" s="312"/>
      <c r="T45" s="10"/>
      <c r="U45" s="375" t="s">
        <v>18</v>
      </c>
      <c r="V45" s="444"/>
      <c r="W45" s="17"/>
      <c r="X45" s="17"/>
      <c r="Y45" s="17"/>
      <c r="Z45" s="17"/>
      <c r="AA45" s="17"/>
      <c r="AB45" s="17"/>
      <c r="AC45" s="17"/>
      <c r="AD45" s="17"/>
    </row>
    <row r="46" spans="1:33" ht="13.5" customHeight="1" x14ac:dyDescent="0.25">
      <c r="A46" s="315"/>
      <c r="B46" s="315"/>
      <c r="C46" s="315"/>
      <c r="D46" s="315"/>
      <c r="H46" s="315"/>
      <c r="I46" s="315"/>
      <c r="J46" s="315"/>
      <c r="K46" s="315"/>
      <c r="O46" s="313"/>
      <c r="P46" s="314"/>
      <c r="R46" s="218"/>
      <c r="S46" s="312"/>
      <c r="T46" s="10"/>
      <c r="U46" s="315"/>
      <c r="V46" s="316"/>
      <c r="W46" s="17"/>
      <c r="X46" s="17"/>
      <c r="Y46" s="17"/>
      <c r="Z46" s="17"/>
      <c r="AA46" s="17"/>
      <c r="AB46" s="17"/>
      <c r="AC46" s="17"/>
      <c r="AD46" s="17"/>
    </row>
    <row r="47" spans="1:33" ht="31.5" customHeight="1" thickBot="1" x14ac:dyDescent="0.3">
      <c r="A47" s="315"/>
      <c r="B47" s="315"/>
      <c r="C47" s="315"/>
      <c r="D47" s="315"/>
      <c r="H47" s="315"/>
      <c r="I47" s="315"/>
      <c r="J47" s="315"/>
      <c r="K47" s="315"/>
      <c r="O47" s="318" t="str">
        <f>IF(O4="","Please enter Date",O4)</f>
        <v>Please enter Date</v>
      </c>
      <c r="P47" s="319"/>
      <c r="R47" s="218"/>
      <c r="S47" s="312"/>
      <c r="T47" s="10"/>
      <c r="U47" s="315"/>
      <c r="V47" s="316"/>
      <c r="W47" s="17"/>
      <c r="X47" s="17"/>
      <c r="Y47" s="17"/>
      <c r="Z47" s="17"/>
      <c r="AA47" s="17"/>
      <c r="AB47" s="17"/>
      <c r="AC47" s="17"/>
      <c r="AD47" s="17"/>
    </row>
    <row r="48" spans="1:33" ht="13.5" customHeight="1" thickTop="1" x14ac:dyDescent="0.25">
      <c r="A48" s="315"/>
      <c r="B48" s="315"/>
      <c r="C48" s="315"/>
      <c r="D48" s="315"/>
      <c r="H48" s="315"/>
      <c r="I48" s="315"/>
      <c r="J48" s="315"/>
      <c r="K48" s="315"/>
      <c r="O48" s="312" t="s">
        <v>323</v>
      </c>
      <c r="P48" s="314"/>
      <c r="R48" s="218"/>
      <c r="S48" s="312"/>
      <c r="T48" s="10"/>
      <c r="U48" s="315"/>
      <c r="V48" s="316"/>
      <c r="W48" s="17"/>
      <c r="X48" s="17"/>
      <c r="Y48" s="17"/>
      <c r="Z48" s="17"/>
      <c r="AA48" s="17"/>
      <c r="AB48" s="17"/>
      <c r="AC48" s="17"/>
      <c r="AD48" s="17"/>
    </row>
    <row r="49" spans="1:31" ht="13" thickBot="1" x14ac:dyDescent="0.3">
      <c r="A49" s="17"/>
      <c r="B49" s="17"/>
      <c r="C49" s="17"/>
      <c r="D49" s="17"/>
      <c r="E49" s="17"/>
      <c r="F49" s="17"/>
      <c r="G49" s="17"/>
      <c r="H49" s="17"/>
      <c r="I49" s="17"/>
      <c r="J49" s="17"/>
      <c r="K49" s="17"/>
      <c r="L49" s="17"/>
      <c r="M49" s="17"/>
      <c r="N49" s="17"/>
      <c r="O49" s="17"/>
      <c r="P49" s="17"/>
      <c r="Q49" s="17"/>
      <c r="R49" s="17"/>
      <c r="S49" s="17"/>
      <c r="T49" s="17"/>
      <c r="V49" s="17"/>
      <c r="W49" s="17"/>
      <c r="X49" s="17"/>
      <c r="Y49" s="17"/>
      <c r="Z49" s="17"/>
      <c r="AA49" s="17"/>
      <c r="AB49" s="17"/>
      <c r="AC49" s="17"/>
      <c r="AD49" s="17"/>
    </row>
    <row r="50" spans="1:31" ht="13" thickTop="1" x14ac:dyDescent="0.25">
      <c r="A50" s="37"/>
      <c r="B50" s="15"/>
      <c r="C50" s="15"/>
      <c r="D50" s="15"/>
      <c r="E50" s="15"/>
      <c r="F50" s="15"/>
      <c r="G50" s="15"/>
      <c r="H50" s="15"/>
      <c r="I50" s="15"/>
      <c r="J50" s="15"/>
      <c r="K50" s="15"/>
      <c r="L50" s="15"/>
      <c r="M50" s="15"/>
      <c r="N50" s="15"/>
      <c r="O50" s="15"/>
      <c r="P50" s="15"/>
      <c r="Q50" s="15"/>
      <c r="R50" s="15"/>
      <c r="S50" s="15"/>
      <c r="T50" s="15"/>
      <c r="U50" s="15"/>
      <c r="V50" s="15"/>
      <c r="W50" s="35"/>
      <c r="X50" s="17"/>
      <c r="Y50" s="17"/>
      <c r="Z50" s="17"/>
      <c r="AA50" s="17"/>
      <c r="AB50" s="17"/>
      <c r="AC50" s="17"/>
      <c r="AD50" s="17"/>
    </row>
    <row r="51" spans="1:31" ht="25" x14ac:dyDescent="0.5">
      <c r="A51" s="38" t="s">
        <v>24</v>
      </c>
      <c r="B51" s="66"/>
      <c r="C51" s="66"/>
      <c r="D51" s="17"/>
      <c r="E51" s="17"/>
      <c r="F51" s="17"/>
      <c r="G51" s="17"/>
      <c r="H51" s="17"/>
      <c r="I51" s="17"/>
      <c r="J51" s="17"/>
      <c r="K51" s="17"/>
      <c r="L51" s="17"/>
      <c r="M51" s="17"/>
      <c r="N51" s="17"/>
      <c r="O51" s="17"/>
      <c r="P51" s="17"/>
      <c r="Q51" s="17"/>
      <c r="R51" s="17"/>
      <c r="S51" s="17"/>
      <c r="T51" s="17"/>
      <c r="U51" s="17"/>
      <c r="V51" s="17"/>
      <c r="W51" s="20"/>
      <c r="X51" s="17"/>
      <c r="Y51" s="17"/>
      <c r="Z51" s="17"/>
      <c r="AA51" s="17"/>
      <c r="AB51" s="17"/>
      <c r="AC51" s="17"/>
      <c r="AD51" s="17"/>
    </row>
    <row r="52" spans="1:31" ht="10.5" customHeight="1" x14ac:dyDescent="0.5">
      <c r="A52" s="38"/>
      <c r="B52" s="66"/>
      <c r="C52" s="66"/>
      <c r="D52" s="17"/>
      <c r="E52" s="17"/>
      <c r="F52" s="17"/>
      <c r="G52" s="17"/>
      <c r="H52" s="17"/>
      <c r="I52" s="17"/>
      <c r="J52" s="17"/>
      <c r="K52" s="17"/>
      <c r="L52" s="17"/>
      <c r="M52" s="17"/>
      <c r="N52" s="17"/>
      <c r="O52" s="17"/>
      <c r="P52" s="17"/>
      <c r="Q52" s="17"/>
      <c r="R52" s="17"/>
      <c r="S52" s="17"/>
      <c r="T52" s="17"/>
      <c r="U52" s="17"/>
      <c r="V52" s="17"/>
      <c r="W52" s="20"/>
      <c r="X52" s="17"/>
      <c r="Y52" s="17"/>
      <c r="Z52" s="17"/>
      <c r="AA52" s="17"/>
      <c r="AB52" s="17"/>
      <c r="AC52" s="17"/>
      <c r="AD52" s="17"/>
    </row>
    <row r="53" spans="1:31" ht="47.25" customHeight="1" x14ac:dyDescent="0.25">
      <c r="A53" s="157" t="s">
        <v>25</v>
      </c>
      <c r="B53" s="330" t="str">
        <f>IF(R9&gt;0,B26,"N/A")</f>
        <v>N/A</v>
      </c>
      <c r="C53" s="331"/>
      <c r="D53" s="332"/>
      <c r="E53" s="158"/>
      <c r="F53" s="359" t="s">
        <v>44</v>
      </c>
      <c r="G53" s="339"/>
      <c r="H53" s="339"/>
      <c r="I53" s="360" t="str">
        <f>IF(R9&lt;1,"N/A",R9)</f>
        <v>N/A</v>
      </c>
      <c r="J53" s="361"/>
      <c r="K53" s="362"/>
      <c r="M53" s="67"/>
      <c r="N53" s="67"/>
      <c r="O53" s="67"/>
      <c r="P53" s="67"/>
      <c r="Q53" s="67"/>
      <c r="S53" s="178"/>
      <c r="U53" s="179"/>
      <c r="V53" s="17"/>
      <c r="W53" s="180"/>
      <c r="X53" s="17"/>
      <c r="Y53" s="17"/>
      <c r="Z53" s="17"/>
      <c r="AA53" s="17"/>
      <c r="AB53" s="17"/>
      <c r="AC53" s="17"/>
      <c r="AD53" s="17"/>
    </row>
    <row r="54" spans="1:31" ht="25" hidden="1" x14ac:dyDescent="0.5">
      <c r="A54" s="38"/>
      <c r="B54" s="66"/>
      <c r="C54" s="66"/>
      <c r="D54" s="17"/>
      <c r="E54" s="17"/>
      <c r="F54" s="17"/>
      <c r="G54" s="17"/>
      <c r="H54" s="17"/>
      <c r="I54" s="17"/>
      <c r="J54" s="17"/>
      <c r="K54" s="17"/>
      <c r="L54" s="17"/>
      <c r="M54" s="17"/>
      <c r="N54" s="17"/>
      <c r="O54" s="17"/>
      <c r="P54" s="17"/>
      <c r="Q54" s="17"/>
      <c r="R54" s="17"/>
      <c r="S54" s="17"/>
      <c r="T54" s="17"/>
      <c r="U54" s="11"/>
      <c r="V54" s="17"/>
      <c r="W54" s="20"/>
      <c r="X54" s="17"/>
      <c r="Y54" s="17"/>
      <c r="Z54" s="17"/>
      <c r="AA54" s="17"/>
      <c r="AB54" s="17"/>
      <c r="AC54" s="17"/>
      <c r="AD54" s="17"/>
    </row>
    <row r="55" spans="1:31" ht="11.25" hidden="1" customHeight="1" x14ac:dyDescent="0.25">
      <c r="A55" s="159" t="s">
        <v>136</v>
      </c>
      <c r="B55" s="348" t="str">
        <f>IF(B53=0,0,IF(R9&gt;0,B26-I53,"N/A"))</f>
        <v>N/A</v>
      </c>
      <c r="C55" s="349"/>
      <c r="D55" s="350"/>
      <c r="E55" s="94"/>
      <c r="F55" s="359" t="s">
        <v>44</v>
      </c>
      <c r="G55" s="339"/>
      <c r="H55" s="339"/>
      <c r="I55" s="360" t="str">
        <f>IF(R9&lt;1,"N/A",R9)</f>
        <v>N/A</v>
      </c>
      <c r="J55" s="361"/>
      <c r="K55" s="362"/>
      <c r="S55" s="178"/>
      <c r="W55" s="20"/>
      <c r="X55" s="46"/>
      <c r="Y55" s="46"/>
      <c r="Z55" s="46"/>
      <c r="AA55" s="46"/>
      <c r="AB55" s="46"/>
      <c r="AC55" s="46"/>
      <c r="AD55" s="46"/>
    </row>
    <row r="56" spans="1:31" ht="6.75" customHeight="1" x14ac:dyDescent="0.35">
      <c r="A56" s="96"/>
      <c r="B56" s="95"/>
      <c r="C56" s="95"/>
      <c r="D56" s="95"/>
      <c r="E56" s="95"/>
      <c r="F56" s="95"/>
      <c r="G56" s="95"/>
      <c r="H56" s="95"/>
      <c r="I56" s="95"/>
      <c r="J56" s="95"/>
      <c r="K56" s="95"/>
      <c r="L56" s="95"/>
      <c r="M56" s="95"/>
      <c r="N56" s="95"/>
      <c r="O56" s="95"/>
      <c r="P56" s="95"/>
      <c r="Q56" s="95"/>
      <c r="R56" s="95"/>
      <c r="S56" s="17"/>
      <c r="T56" s="17"/>
      <c r="U56" s="17"/>
      <c r="V56" s="46"/>
      <c r="W56" s="151"/>
      <c r="X56" s="46"/>
      <c r="Y56" s="46"/>
      <c r="Z56" s="46"/>
      <c r="AA56" s="46"/>
      <c r="AB56" s="46"/>
      <c r="AC56" s="46"/>
      <c r="AD56" s="46"/>
    </row>
    <row r="57" spans="1:31" ht="36.75" customHeight="1" x14ac:dyDescent="0.35">
      <c r="A57" s="97" t="s">
        <v>261</v>
      </c>
      <c r="B57" s="351" t="str">
        <f>IF(AI11="Cat 1",AI11,IF(AI11="Cat 2",AI11,IF(AI11="Cat 3",AI11,IF(AI11="Cat 4",AI11,IF(AI11="Cat 5",AI11,IF(AI11="Cat 6",AI11,IF(AG10="N/A","N/A","N/A")))))))</f>
        <v>N/A</v>
      </c>
      <c r="C57" s="352"/>
      <c r="D57" s="353"/>
      <c r="E57" s="95"/>
      <c r="F57" s="359" t="s">
        <v>12</v>
      </c>
      <c r="G57" s="399"/>
      <c r="H57" s="400"/>
      <c r="I57" s="415" t="str">
        <f>IF(B57="Cat 1",B61,IF(B57="Cat 2",F61,IF(B57="Cat 3",I61,IF(B57="Cat 4",M61,IF(B57="Cat 5",P61,IF(B57="Cat 6",S61,"N/A"))))))</f>
        <v>N/A</v>
      </c>
      <c r="J57" s="416"/>
      <c r="K57" s="417"/>
      <c r="L57" s="95"/>
      <c r="M57" s="398" t="s">
        <v>192</v>
      </c>
      <c r="N57" s="426"/>
      <c r="O57" s="426"/>
      <c r="P57" s="427"/>
      <c r="Q57" s="438" t="str">
        <f>IF(AI11="Cat 1",B53*B61,IF(AI11="Cat 2",B53*F61,IF(AI11="Cat 3",B53*I61,IF(AI11="Cat 4",B53*M61,IF(AI11="Cat 5",B53*P61,IF(AI11="Cat 6",B53*S61,IF(AG10="N/A","N/A","N/A")))))))</f>
        <v>N/A</v>
      </c>
      <c r="R57" s="416"/>
      <c r="S57" s="417"/>
      <c r="T57" s="67"/>
      <c r="W57" s="20"/>
      <c r="X57" s="46"/>
      <c r="Y57" s="46"/>
      <c r="Z57" s="46"/>
      <c r="AA57" s="46"/>
      <c r="AB57" s="46"/>
      <c r="AC57" s="46"/>
      <c r="AD57" s="46"/>
    </row>
    <row r="58" spans="1:31" ht="9.75" customHeight="1" x14ac:dyDescent="0.35">
      <c r="A58" s="96"/>
      <c r="B58" s="95"/>
      <c r="C58" s="95"/>
      <c r="D58" s="95"/>
      <c r="E58" s="95"/>
      <c r="F58" s="95"/>
      <c r="G58" s="95"/>
      <c r="H58" s="95"/>
      <c r="I58" s="95"/>
      <c r="J58" s="95"/>
      <c r="K58" s="95"/>
      <c r="L58" s="95"/>
      <c r="M58" s="95"/>
      <c r="N58" s="95"/>
      <c r="O58" s="95"/>
      <c r="P58" s="95"/>
      <c r="Q58" s="95"/>
      <c r="R58" s="95"/>
      <c r="S58" s="17"/>
      <c r="T58" s="17"/>
      <c r="U58" s="17"/>
      <c r="V58" s="46"/>
      <c r="W58" s="151"/>
      <c r="X58" s="46"/>
      <c r="Y58" s="46"/>
      <c r="Z58" s="46"/>
      <c r="AA58" s="46"/>
      <c r="AB58" s="46"/>
      <c r="AC58" s="46"/>
      <c r="AD58" s="46"/>
    </row>
    <row r="59" spans="1:31" ht="35" x14ac:dyDescent="0.35">
      <c r="A59" s="98" t="s">
        <v>262</v>
      </c>
      <c r="B59" s="403" t="str">
        <f>IF(AI11="Cat 1",AI11,IF(AI11="Cat 2",AI11,IF(AI11="Cat 3",AI11,IF(AI11="Cat 4",AI11,IF(AI11="Cat 5",AI11,IF(AI11="Cat 6",AI11,IF(AG10="N/A","N/A","N/A")))))))</f>
        <v>N/A</v>
      </c>
      <c r="C59" s="404"/>
      <c r="D59" s="405"/>
      <c r="E59" s="95"/>
      <c r="F59" s="398" t="s">
        <v>240</v>
      </c>
      <c r="G59" s="399"/>
      <c r="H59" s="400"/>
      <c r="I59" s="415" t="str">
        <f>IF(B59="Cat 1",B62,IF(B59="Cat 2",F62,IF(B59="Cat 3",I62,IF(B59="Cat 4",M62,IF(B59="Cat 5",P62,IF(B59="Cat 6",S62,"N/A"))))))</f>
        <v>N/A</v>
      </c>
      <c r="J59" s="416"/>
      <c r="K59" s="417"/>
      <c r="L59" s="95"/>
      <c r="M59" s="95"/>
      <c r="N59" s="95"/>
      <c r="O59" s="95"/>
      <c r="P59" s="95"/>
      <c r="Q59" s="95"/>
      <c r="R59" s="95"/>
      <c r="S59" s="17"/>
      <c r="T59" s="17"/>
      <c r="U59" s="17"/>
      <c r="V59" s="46"/>
      <c r="W59" s="151"/>
      <c r="X59" s="18"/>
      <c r="Y59" s="18"/>
      <c r="Z59" s="18"/>
      <c r="AA59" s="18"/>
      <c r="AB59" s="18"/>
      <c r="AC59" s="18"/>
      <c r="AD59" s="18"/>
    </row>
    <row r="60" spans="1:31" ht="13" thickBot="1" x14ac:dyDescent="0.3">
      <c r="A60" s="16"/>
      <c r="B60" s="17"/>
      <c r="C60" s="17"/>
      <c r="D60" s="17"/>
      <c r="E60" s="17"/>
      <c r="F60" s="17"/>
      <c r="G60" s="17"/>
      <c r="H60" s="17"/>
      <c r="I60" s="17"/>
      <c r="J60" s="17"/>
      <c r="K60" s="17"/>
      <c r="L60" s="17"/>
      <c r="M60" s="17"/>
      <c r="N60" s="17"/>
      <c r="O60" s="17"/>
      <c r="P60" s="17"/>
      <c r="Q60" s="17"/>
      <c r="R60" s="17"/>
      <c r="S60" s="17"/>
      <c r="T60" s="17"/>
      <c r="U60" s="17"/>
      <c r="V60" s="18"/>
      <c r="W60" s="19"/>
      <c r="X60" s="47"/>
      <c r="Y60" s="47"/>
      <c r="Z60" s="47"/>
      <c r="AA60" s="47"/>
      <c r="AB60" s="47"/>
      <c r="AC60" s="47"/>
      <c r="AD60" s="47"/>
      <c r="AE60" s="48"/>
    </row>
    <row r="61" spans="1:31" ht="13" thickTop="1" x14ac:dyDescent="0.25">
      <c r="A61" s="23" t="s">
        <v>23</v>
      </c>
      <c r="B61" s="345">
        <v>0</v>
      </c>
      <c r="C61" s="346"/>
      <c r="D61" s="346"/>
      <c r="E61" s="347"/>
      <c r="F61" s="345">
        <v>0.05</v>
      </c>
      <c r="G61" s="401"/>
      <c r="H61" s="402"/>
      <c r="I61" s="345">
        <v>0.05</v>
      </c>
      <c r="J61" s="401"/>
      <c r="K61" s="401"/>
      <c r="L61" s="402"/>
      <c r="M61" s="345">
        <v>7.0000000000000007E-2</v>
      </c>
      <c r="N61" s="401"/>
      <c r="O61" s="402"/>
      <c r="P61" s="345">
        <v>0.1</v>
      </c>
      <c r="Q61" s="401"/>
      <c r="R61" s="402"/>
      <c r="S61" s="345">
        <v>0.1</v>
      </c>
      <c r="T61" s="401"/>
      <c r="U61" s="401"/>
      <c r="V61" s="322" t="s">
        <v>130</v>
      </c>
      <c r="W61" s="323"/>
      <c r="X61" s="18"/>
      <c r="Y61" s="18"/>
      <c r="Z61" s="18"/>
      <c r="AA61" s="18"/>
      <c r="AB61" s="18"/>
      <c r="AC61" s="18"/>
      <c r="AD61" s="18"/>
    </row>
    <row r="62" spans="1:31" x14ac:dyDescent="0.25">
      <c r="A62" s="24" t="s">
        <v>7</v>
      </c>
      <c r="B62" s="342">
        <v>0</v>
      </c>
      <c r="C62" s="343"/>
      <c r="D62" s="343"/>
      <c r="E62" s="344"/>
      <c r="F62" s="342">
        <v>0.01</v>
      </c>
      <c r="G62" s="357"/>
      <c r="H62" s="358"/>
      <c r="I62" s="342">
        <v>0.02</v>
      </c>
      <c r="J62" s="357"/>
      <c r="K62" s="357"/>
      <c r="L62" s="358"/>
      <c r="M62" s="342">
        <v>0.03</v>
      </c>
      <c r="N62" s="357"/>
      <c r="O62" s="358"/>
      <c r="P62" s="342">
        <v>0.05</v>
      </c>
      <c r="Q62" s="357"/>
      <c r="R62" s="358"/>
      <c r="S62" s="342">
        <v>0.1</v>
      </c>
      <c r="T62" s="357"/>
      <c r="U62" s="357"/>
      <c r="V62" s="324" t="s">
        <v>130</v>
      </c>
      <c r="W62" s="325"/>
      <c r="X62" s="18"/>
      <c r="Y62" s="18"/>
      <c r="Z62" s="18"/>
      <c r="AA62" s="18"/>
      <c r="AB62" s="18"/>
      <c r="AC62" s="18"/>
      <c r="AD62" s="18"/>
    </row>
    <row r="63" spans="1:31" ht="13" thickBot="1" x14ac:dyDescent="0.3">
      <c r="A63" s="25" t="s">
        <v>8</v>
      </c>
      <c r="B63" s="333" t="s">
        <v>47</v>
      </c>
      <c r="C63" s="334"/>
      <c r="D63" s="334"/>
      <c r="E63" s="335"/>
      <c r="F63" s="333" t="s">
        <v>201</v>
      </c>
      <c r="G63" s="365"/>
      <c r="H63" s="366"/>
      <c r="I63" s="333" t="s">
        <v>202</v>
      </c>
      <c r="J63" s="365"/>
      <c r="K63" s="365"/>
      <c r="L63" s="366"/>
      <c r="M63" s="333" t="s">
        <v>50</v>
      </c>
      <c r="N63" s="365"/>
      <c r="O63" s="366"/>
      <c r="P63" s="333" t="s">
        <v>51</v>
      </c>
      <c r="Q63" s="365"/>
      <c r="R63" s="366"/>
      <c r="S63" s="333" t="s">
        <v>52</v>
      </c>
      <c r="T63" s="365"/>
      <c r="U63" s="365"/>
      <c r="V63" s="326" t="s">
        <v>131</v>
      </c>
      <c r="W63" s="327"/>
      <c r="X63" s="18"/>
      <c r="Y63" s="18"/>
      <c r="Z63" s="18"/>
      <c r="AA63" s="18"/>
      <c r="AB63" s="18"/>
      <c r="AC63" s="18"/>
      <c r="AD63" s="18"/>
    </row>
    <row r="64" spans="1:31" ht="13" thickTop="1" x14ac:dyDescent="0.25">
      <c r="A64" s="26"/>
      <c r="B64" s="384"/>
      <c r="C64" s="337"/>
      <c r="D64" s="337"/>
      <c r="E64" s="354"/>
      <c r="F64" s="336"/>
      <c r="G64" s="337"/>
      <c r="H64" s="354"/>
      <c r="I64" s="336"/>
      <c r="J64" s="337"/>
      <c r="K64" s="337"/>
      <c r="L64" s="354"/>
      <c r="M64" s="336"/>
      <c r="N64" s="337"/>
      <c r="O64" s="354"/>
      <c r="P64" s="336"/>
      <c r="Q64" s="337"/>
      <c r="R64" s="354"/>
      <c r="S64" s="336"/>
      <c r="T64" s="337"/>
      <c r="U64" s="337"/>
      <c r="V64" s="152"/>
      <c r="W64" s="153"/>
      <c r="X64" s="18"/>
      <c r="Y64" s="18"/>
      <c r="Z64" s="18"/>
      <c r="AA64" s="18"/>
      <c r="AB64" s="18"/>
      <c r="AC64" s="18"/>
      <c r="AD64" s="18"/>
    </row>
    <row r="65" spans="1:30" x14ac:dyDescent="0.25">
      <c r="A65" s="24" t="s">
        <v>9</v>
      </c>
      <c r="B65" s="338">
        <v>1</v>
      </c>
      <c r="C65" s="339"/>
      <c r="D65" s="339"/>
      <c r="E65" s="362"/>
      <c r="F65" s="338">
        <v>2</v>
      </c>
      <c r="G65" s="339"/>
      <c r="H65" s="362"/>
      <c r="I65" s="338">
        <v>3</v>
      </c>
      <c r="J65" s="339"/>
      <c r="K65" s="339"/>
      <c r="L65" s="362"/>
      <c r="M65" s="338">
        <v>4</v>
      </c>
      <c r="N65" s="339"/>
      <c r="O65" s="362"/>
      <c r="P65" s="338">
        <v>5</v>
      </c>
      <c r="Q65" s="339"/>
      <c r="R65" s="362"/>
      <c r="S65" s="338">
        <v>6</v>
      </c>
      <c r="T65" s="339"/>
      <c r="U65" s="339"/>
      <c r="V65" s="324" t="s">
        <v>132</v>
      </c>
      <c r="W65" s="325"/>
      <c r="X65" s="18"/>
      <c r="Y65" s="18"/>
      <c r="Z65" s="18"/>
      <c r="AA65" s="18"/>
      <c r="AB65" s="18"/>
      <c r="AC65" s="18"/>
      <c r="AD65" s="18"/>
    </row>
    <row r="66" spans="1:30" x14ac:dyDescent="0.25">
      <c r="A66" s="27" t="s">
        <v>0</v>
      </c>
      <c r="B66" s="385"/>
      <c r="C66" s="341"/>
      <c r="D66" s="341"/>
      <c r="E66" s="386"/>
      <c r="F66" s="340"/>
      <c r="G66" s="423"/>
      <c r="H66" s="386"/>
      <c r="I66" s="340"/>
      <c r="J66" s="341"/>
      <c r="K66" s="341"/>
      <c r="L66" s="386"/>
      <c r="M66" s="340"/>
      <c r="N66" s="341"/>
      <c r="O66" s="386"/>
      <c r="P66" s="340"/>
      <c r="Q66" s="341"/>
      <c r="R66" s="386"/>
      <c r="S66" s="340"/>
      <c r="T66" s="341"/>
      <c r="U66" s="341"/>
      <c r="V66" s="147"/>
      <c r="W66" s="154"/>
      <c r="X66" s="18"/>
      <c r="Y66" s="18"/>
      <c r="Z66" s="18"/>
      <c r="AA66" s="18"/>
      <c r="AB66" s="18"/>
      <c r="AC66" s="18"/>
      <c r="AD66" s="18"/>
    </row>
    <row r="67" spans="1:30" x14ac:dyDescent="0.25">
      <c r="A67" s="27">
        <v>1</v>
      </c>
      <c r="B67" s="176">
        <v>0</v>
      </c>
      <c r="C67" s="182" t="s">
        <v>53</v>
      </c>
      <c r="D67" s="406">
        <v>15960</v>
      </c>
      <c r="E67" s="407"/>
      <c r="F67" s="176">
        <f>D67+1</f>
        <v>15961</v>
      </c>
      <c r="G67" s="182" t="s">
        <v>53</v>
      </c>
      <c r="H67" s="177">
        <f t="shared" ref="H67:H74" si="0">ROUND(D67*1.38,0)</f>
        <v>22025</v>
      </c>
      <c r="I67" s="176">
        <f t="shared" ref="I67:I74" si="1">H67+1</f>
        <v>22026</v>
      </c>
      <c r="J67" s="182" t="s">
        <v>53</v>
      </c>
      <c r="K67" s="355">
        <f>ROUND(D67*1.5,0)</f>
        <v>23940</v>
      </c>
      <c r="L67" s="356"/>
      <c r="M67" s="176">
        <f>K67+1</f>
        <v>23941</v>
      </c>
      <c r="N67" s="182" t="s">
        <v>53</v>
      </c>
      <c r="O67" s="177">
        <f>ROUND(D67*2,0)</f>
        <v>31920</v>
      </c>
      <c r="P67" s="176">
        <f>O67+1</f>
        <v>31921</v>
      </c>
      <c r="Q67" s="182" t="s">
        <v>53</v>
      </c>
      <c r="R67" s="177">
        <f>ROUND(D67*3,0)</f>
        <v>47880</v>
      </c>
      <c r="S67" s="176">
        <f t="shared" ref="S67:S74" si="2">R67+1</f>
        <v>47881</v>
      </c>
      <c r="T67" s="182" t="s">
        <v>53</v>
      </c>
      <c r="U67" s="176">
        <f t="shared" ref="U67:U74" si="3">ROUND(D67*4,0)</f>
        <v>63840</v>
      </c>
      <c r="V67" s="183" t="s">
        <v>133</v>
      </c>
      <c r="W67" s="156">
        <f>U67</f>
        <v>63840</v>
      </c>
      <c r="X67" s="18"/>
      <c r="Y67" s="18"/>
      <c r="Z67" s="18"/>
      <c r="AA67" s="18"/>
      <c r="AB67" s="18"/>
      <c r="AC67" s="18"/>
      <c r="AD67" s="18"/>
    </row>
    <row r="68" spans="1:30" x14ac:dyDescent="0.25">
      <c r="A68" s="27">
        <v>2</v>
      </c>
      <c r="B68" s="176">
        <v>0</v>
      </c>
      <c r="C68" s="182" t="s">
        <v>53</v>
      </c>
      <c r="D68" s="355">
        <f>D67+$B$75</f>
        <v>21640</v>
      </c>
      <c r="E68" s="356"/>
      <c r="F68" s="176">
        <f t="shared" ref="F68:F74" si="4">D68+1</f>
        <v>21641</v>
      </c>
      <c r="G68" s="182" t="s">
        <v>53</v>
      </c>
      <c r="H68" s="177">
        <f t="shared" si="0"/>
        <v>29863</v>
      </c>
      <c r="I68" s="176">
        <f t="shared" si="1"/>
        <v>29864</v>
      </c>
      <c r="J68" s="182" t="s">
        <v>53</v>
      </c>
      <c r="K68" s="355">
        <f t="shared" ref="K68:K74" si="5">ROUND(D68*1.5,0)</f>
        <v>32460</v>
      </c>
      <c r="L68" s="356"/>
      <c r="M68" s="176">
        <f t="shared" ref="M68:M74" si="6">K68+1</f>
        <v>32461</v>
      </c>
      <c r="N68" s="182" t="s">
        <v>53</v>
      </c>
      <c r="O68" s="177">
        <f t="shared" ref="O68:O74" si="7">ROUND(D68*2,0)</f>
        <v>43280</v>
      </c>
      <c r="P68" s="176">
        <f t="shared" ref="P68:P74" si="8">O68+1</f>
        <v>43281</v>
      </c>
      <c r="Q68" s="182" t="s">
        <v>53</v>
      </c>
      <c r="R68" s="177">
        <f t="shared" ref="R68:R74" si="9">ROUND(D68*3,0)</f>
        <v>64920</v>
      </c>
      <c r="S68" s="176">
        <f t="shared" si="2"/>
        <v>64921</v>
      </c>
      <c r="T68" s="182" t="s">
        <v>53</v>
      </c>
      <c r="U68" s="176">
        <f t="shared" si="3"/>
        <v>86560</v>
      </c>
      <c r="V68" s="183" t="s">
        <v>133</v>
      </c>
      <c r="W68" s="156">
        <f t="shared" ref="W68:W76" si="10">U68</f>
        <v>86560</v>
      </c>
      <c r="X68" s="18"/>
      <c r="Y68" s="18"/>
      <c r="Z68" s="18"/>
      <c r="AA68" s="18"/>
      <c r="AB68" s="18"/>
      <c r="AC68" s="18"/>
      <c r="AD68" s="18"/>
    </row>
    <row r="69" spans="1:30" x14ac:dyDescent="0.25">
      <c r="A69" s="27">
        <v>3</v>
      </c>
      <c r="B69" s="176">
        <v>0</v>
      </c>
      <c r="C69" s="182" t="s">
        <v>53</v>
      </c>
      <c r="D69" s="355">
        <f t="shared" ref="D69:D74" si="11">D68+$B$75</f>
        <v>27320</v>
      </c>
      <c r="E69" s="356"/>
      <c r="F69" s="176">
        <f t="shared" si="4"/>
        <v>27321</v>
      </c>
      <c r="G69" s="182" t="s">
        <v>53</v>
      </c>
      <c r="H69" s="177">
        <f t="shared" si="0"/>
        <v>37702</v>
      </c>
      <c r="I69" s="176">
        <f t="shared" si="1"/>
        <v>37703</v>
      </c>
      <c r="J69" s="182" t="s">
        <v>53</v>
      </c>
      <c r="K69" s="355">
        <f t="shared" si="5"/>
        <v>40980</v>
      </c>
      <c r="L69" s="356"/>
      <c r="M69" s="176">
        <f t="shared" si="6"/>
        <v>40981</v>
      </c>
      <c r="N69" s="182" t="s">
        <v>53</v>
      </c>
      <c r="O69" s="177">
        <f t="shared" si="7"/>
        <v>54640</v>
      </c>
      <c r="P69" s="176">
        <f t="shared" si="8"/>
        <v>54641</v>
      </c>
      <c r="Q69" s="182" t="s">
        <v>53</v>
      </c>
      <c r="R69" s="177">
        <f t="shared" si="9"/>
        <v>81960</v>
      </c>
      <c r="S69" s="176">
        <f t="shared" si="2"/>
        <v>81961</v>
      </c>
      <c r="T69" s="182" t="s">
        <v>53</v>
      </c>
      <c r="U69" s="176">
        <f t="shared" si="3"/>
        <v>109280</v>
      </c>
      <c r="V69" s="183" t="s">
        <v>133</v>
      </c>
      <c r="W69" s="156">
        <f t="shared" si="10"/>
        <v>109280</v>
      </c>
      <c r="X69" s="11"/>
      <c r="Y69" s="11"/>
      <c r="Z69" s="11"/>
      <c r="AA69" s="11"/>
      <c r="AB69" s="11"/>
      <c r="AC69" s="11"/>
      <c r="AD69" s="11"/>
    </row>
    <row r="70" spans="1:30" x14ac:dyDescent="0.25">
      <c r="A70" s="27">
        <v>4</v>
      </c>
      <c r="B70" s="176">
        <v>0</v>
      </c>
      <c r="C70" s="182" t="s">
        <v>53</v>
      </c>
      <c r="D70" s="355">
        <f t="shared" si="11"/>
        <v>33000</v>
      </c>
      <c r="E70" s="356"/>
      <c r="F70" s="176">
        <f t="shared" si="4"/>
        <v>33001</v>
      </c>
      <c r="G70" s="182" t="s">
        <v>53</v>
      </c>
      <c r="H70" s="177">
        <f t="shared" si="0"/>
        <v>45540</v>
      </c>
      <c r="I70" s="176">
        <f t="shared" si="1"/>
        <v>45541</v>
      </c>
      <c r="J70" s="182" t="s">
        <v>53</v>
      </c>
      <c r="K70" s="355">
        <f t="shared" si="5"/>
        <v>49500</v>
      </c>
      <c r="L70" s="356"/>
      <c r="M70" s="176">
        <f t="shared" si="6"/>
        <v>49501</v>
      </c>
      <c r="N70" s="182" t="s">
        <v>53</v>
      </c>
      <c r="O70" s="177">
        <f t="shared" si="7"/>
        <v>66000</v>
      </c>
      <c r="P70" s="176">
        <f t="shared" si="8"/>
        <v>66001</v>
      </c>
      <c r="Q70" s="182" t="s">
        <v>53</v>
      </c>
      <c r="R70" s="177">
        <f t="shared" si="9"/>
        <v>99000</v>
      </c>
      <c r="S70" s="176">
        <f t="shared" si="2"/>
        <v>99001</v>
      </c>
      <c r="T70" s="182" t="s">
        <v>53</v>
      </c>
      <c r="U70" s="176">
        <f t="shared" si="3"/>
        <v>132000</v>
      </c>
      <c r="V70" s="183" t="s">
        <v>133</v>
      </c>
      <c r="W70" s="156">
        <f t="shared" si="10"/>
        <v>132000</v>
      </c>
      <c r="X70" s="18"/>
      <c r="Y70" s="18"/>
      <c r="Z70" s="18"/>
      <c r="AA70" s="18"/>
      <c r="AB70" s="18"/>
      <c r="AC70" s="18"/>
      <c r="AD70" s="18"/>
    </row>
    <row r="71" spans="1:30" x14ac:dyDescent="0.25">
      <c r="A71" s="27">
        <v>5</v>
      </c>
      <c r="B71" s="176">
        <v>0</v>
      </c>
      <c r="C71" s="182" t="s">
        <v>53</v>
      </c>
      <c r="D71" s="355">
        <f t="shared" si="11"/>
        <v>38680</v>
      </c>
      <c r="E71" s="356"/>
      <c r="F71" s="176">
        <f t="shared" si="4"/>
        <v>38681</v>
      </c>
      <c r="G71" s="182" t="s">
        <v>53</v>
      </c>
      <c r="H71" s="177">
        <f t="shared" si="0"/>
        <v>53378</v>
      </c>
      <c r="I71" s="176">
        <f t="shared" si="1"/>
        <v>53379</v>
      </c>
      <c r="J71" s="182" t="s">
        <v>53</v>
      </c>
      <c r="K71" s="355">
        <f t="shared" si="5"/>
        <v>58020</v>
      </c>
      <c r="L71" s="356"/>
      <c r="M71" s="176">
        <f t="shared" si="6"/>
        <v>58021</v>
      </c>
      <c r="N71" s="182" t="s">
        <v>53</v>
      </c>
      <c r="O71" s="177">
        <f t="shared" si="7"/>
        <v>77360</v>
      </c>
      <c r="P71" s="176">
        <f t="shared" si="8"/>
        <v>77361</v>
      </c>
      <c r="Q71" s="182" t="s">
        <v>53</v>
      </c>
      <c r="R71" s="177">
        <f t="shared" si="9"/>
        <v>116040</v>
      </c>
      <c r="S71" s="176">
        <f t="shared" si="2"/>
        <v>116041</v>
      </c>
      <c r="T71" s="182" t="s">
        <v>53</v>
      </c>
      <c r="U71" s="176">
        <f t="shared" si="3"/>
        <v>154720</v>
      </c>
      <c r="V71" s="183" t="s">
        <v>133</v>
      </c>
      <c r="W71" s="156">
        <f t="shared" si="10"/>
        <v>154720</v>
      </c>
      <c r="X71" s="17"/>
      <c r="Y71" s="17"/>
      <c r="Z71" s="17"/>
      <c r="AA71" s="17"/>
      <c r="AB71" s="17"/>
      <c r="AC71" s="17"/>
      <c r="AD71" s="17"/>
    </row>
    <row r="72" spans="1:30" x14ac:dyDescent="0.25">
      <c r="A72" s="27">
        <v>6</v>
      </c>
      <c r="B72" s="176">
        <v>0</v>
      </c>
      <c r="C72" s="182" t="s">
        <v>53</v>
      </c>
      <c r="D72" s="355">
        <f t="shared" si="11"/>
        <v>44360</v>
      </c>
      <c r="E72" s="356"/>
      <c r="F72" s="176">
        <f t="shared" si="4"/>
        <v>44361</v>
      </c>
      <c r="G72" s="182" t="s">
        <v>53</v>
      </c>
      <c r="H72" s="177">
        <f t="shared" si="0"/>
        <v>61217</v>
      </c>
      <c r="I72" s="176">
        <f t="shared" si="1"/>
        <v>61218</v>
      </c>
      <c r="J72" s="182" t="s">
        <v>53</v>
      </c>
      <c r="K72" s="355">
        <f t="shared" si="5"/>
        <v>66540</v>
      </c>
      <c r="L72" s="356"/>
      <c r="M72" s="176">
        <f t="shared" si="6"/>
        <v>66541</v>
      </c>
      <c r="N72" s="182" t="s">
        <v>53</v>
      </c>
      <c r="O72" s="177">
        <f t="shared" si="7"/>
        <v>88720</v>
      </c>
      <c r="P72" s="176">
        <f t="shared" si="8"/>
        <v>88721</v>
      </c>
      <c r="Q72" s="182" t="s">
        <v>53</v>
      </c>
      <c r="R72" s="177">
        <f t="shared" si="9"/>
        <v>133080</v>
      </c>
      <c r="S72" s="176">
        <f t="shared" si="2"/>
        <v>133081</v>
      </c>
      <c r="T72" s="182" t="s">
        <v>53</v>
      </c>
      <c r="U72" s="176">
        <f t="shared" si="3"/>
        <v>177440</v>
      </c>
      <c r="V72" s="183" t="s">
        <v>133</v>
      </c>
      <c r="W72" s="156">
        <f t="shared" si="10"/>
        <v>177440</v>
      </c>
    </row>
    <row r="73" spans="1:30" x14ac:dyDescent="0.25">
      <c r="A73" s="27">
        <v>7</v>
      </c>
      <c r="B73" s="176">
        <v>0</v>
      </c>
      <c r="C73" s="182" t="s">
        <v>53</v>
      </c>
      <c r="D73" s="355">
        <f t="shared" si="11"/>
        <v>50040</v>
      </c>
      <c r="E73" s="356"/>
      <c r="F73" s="176">
        <f t="shared" si="4"/>
        <v>50041</v>
      </c>
      <c r="G73" s="182" t="s">
        <v>53</v>
      </c>
      <c r="H73" s="177">
        <f t="shared" si="0"/>
        <v>69055</v>
      </c>
      <c r="I73" s="176">
        <f t="shared" si="1"/>
        <v>69056</v>
      </c>
      <c r="J73" s="182" t="s">
        <v>53</v>
      </c>
      <c r="K73" s="355">
        <f t="shared" si="5"/>
        <v>75060</v>
      </c>
      <c r="L73" s="356"/>
      <c r="M73" s="176">
        <f t="shared" si="6"/>
        <v>75061</v>
      </c>
      <c r="N73" s="182" t="s">
        <v>53</v>
      </c>
      <c r="O73" s="177">
        <f t="shared" si="7"/>
        <v>100080</v>
      </c>
      <c r="P73" s="176">
        <f t="shared" si="8"/>
        <v>100081</v>
      </c>
      <c r="Q73" s="182" t="s">
        <v>53</v>
      </c>
      <c r="R73" s="177">
        <f t="shared" si="9"/>
        <v>150120</v>
      </c>
      <c r="S73" s="176">
        <f t="shared" si="2"/>
        <v>150121</v>
      </c>
      <c r="T73" s="182" t="s">
        <v>53</v>
      </c>
      <c r="U73" s="176">
        <f t="shared" si="3"/>
        <v>200160</v>
      </c>
      <c r="V73" s="183" t="s">
        <v>133</v>
      </c>
      <c r="W73" s="156">
        <f t="shared" si="10"/>
        <v>200160</v>
      </c>
    </row>
    <row r="74" spans="1:30" x14ac:dyDescent="0.25">
      <c r="A74" s="27">
        <v>8</v>
      </c>
      <c r="B74" s="176">
        <v>0</v>
      </c>
      <c r="C74" s="182" t="s">
        <v>53</v>
      </c>
      <c r="D74" s="355">
        <f t="shared" si="11"/>
        <v>55720</v>
      </c>
      <c r="E74" s="356"/>
      <c r="F74" s="176">
        <f t="shared" si="4"/>
        <v>55721</v>
      </c>
      <c r="G74" s="182" t="s">
        <v>53</v>
      </c>
      <c r="H74" s="177">
        <f t="shared" si="0"/>
        <v>76894</v>
      </c>
      <c r="I74" s="176">
        <f t="shared" si="1"/>
        <v>76895</v>
      </c>
      <c r="J74" s="182" t="s">
        <v>53</v>
      </c>
      <c r="K74" s="355">
        <f t="shared" si="5"/>
        <v>83580</v>
      </c>
      <c r="L74" s="356"/>
      <c r="M74" s="176">
        <f t="shared" si="6"/>
        <v>83581</v>
      </c>
      <c r="N74" s="182" t="s">
        <v>53</v>
      </c>
      <c r="O74" s="177">
        <f t="shared" si="7"/>
        <v>111440</v>
      </c>
      <c r="P74" s="176">
        <f t="shared" si="8"/>
        <v>111441</v>
      </c>
      <c r="Q74" s="182" t="s">
        <v>53</v>
      </c>
      <c r="R74" s="177">
        <f t="shared" si="9"/>
        <v>167160</v>
      </c>
      <c r="S74" s="176">
        <f t="shared" si="2"/>
        <v>167161</v>
      </c>
      <c r="T74" s="182" t="s">
        <v>53</v>
      </c>
      <c r="U74" s="176">
        <f t="shared" si="3"/>
        <v>222880</v>
      </c>
      <c r="V74" s="183" t="s">
        <v>133</v>
      </c>
      <c r="W74" s="156">
        <f t="shared" si="10"/>
        <v>222880</v>
      </c>
    </row>
    <row r="75" spans="1:30" ht="25" x14ac:dyDescent="0.25">
      <c r="A75" s="28" t="s">
        <v>22</v>
      </c>
      <c r="B75" s="387">
        <v>5680</v>
      </c>
      <c r="C75" s="388"/>
      <c r="D75" s="388"/>
      <c r="E75" s="389"/>
      <c r="F75" s="420">
        <f>H68-H67</f>
        <v>7838</v>
      </c>
      <c r="G75" s="421"/>
      <c r="H75" s="422"/>
      <c r="I75" s="420">
        <f>K68-K67</f>
        <v>8520</v>
      </c>
      <c r="J75" s="421"/>
      <c r="K75" s="421"/>
      <c r="L75" s="422"/>
      <c r="M75" s="420">
        <f>O68-O67</f>
        <v>11360</v>
      </c>
      <c r="N75" s="421"/>
      <c r="O75" s="422"/>
      <c r="P75" s="420">
        <f>R68-R67</f>
        <v>17040</v>
      </c>
      <c r="Q75" s="421"/>
      <c r="R75" s="422"/>
      <c r="S75" s="420">
        <f>U68-U67</f>
        <v>22720</v>
      </c>
      <c r="T75" s="421"/>
      <c r="U75" s="421"/>
      <c r="V75" s="328">
        <f>S75</f>
        <v>22720</v>
      </c>
      <c r="W75" s="329"/>
    </row>
    <row r="76" spans="1:30" x14ac:dyDescent="0.25">
      <c r="A76" s="127" t="str">
        <f>IF(R9&lt;=8,"Income level for 8+",R9)</f>
        <v>Income level for 8+</v>
      </c>
      <c r="B76" s="181" t="str">
        <f>IF($R$9&gt;8,0,"")</f>
        <v/>
      </c>
      <c r="C76" s="181" t="str">
        <f>IF($R$9&gt;8,"-","")</f>
        <v/>
      </c>
      <c r="D76" s="408" t="str">
        <f>IF($R$9&gt;8,D74+(B75*($R$9-8)),"")</f>
        <v/>
      </c>
      <c r="E76" s="409"/>
      <c r="F76" s="174" t="str">
        <f>IF($R$9&gt;8,D76+1,"")</f>
        <v/>
      </c>
      <c r="G76" s="181" t="str">
        <f>IF($R$9&gt;8,"-","")</f>
        <v/>
      </c>
      <c r="H76" s="175" t="str">
        <f>IF($R$9&gt;8,H74+(F75*($R$9-8)),"")</f>
        <v/>
      </c>
      <c r="I76" s="174" t="str">
        <f>IF($R$9&gt;8,H76+1,"")</f>
        <v/>
      </c>
      <c r="J76" s="181" t="str">
        <f>IF($R$9&gt;8,"-","")</f>
        <v/>
      </c>
      <c r="K76" s="408" t="str">
        <f>IF($R$9&gt;8,K74+(I75*($R$9-8)),"")</f>
        <v/>
      </c>
      <c r="L76" s="409"/>
      <c r="M76" s="174" t="str">
        <f>IF($R$9&gt;8,K76+1,"")</f>
        <v/>
      </c>
      <c r="N76" s="181" t="str">
        <f>IF($R$9&gt;8,"-","")</f>
        <v/>
      </c>
      <c r="O76" s="174" t="str">
        <f>IF($R$9&gt;8,O74+(M75*($R$9-8)),"")</f>
        <v/>
      </c>
      <c r="P76" s="126" t="str">
        <f>IF($R$9&gt;8,O76+1,"")</f>
        <v/>
      </c>
      <c r="Q76" s="181" t="str">
        <f>IF($R$9&gt;8,"-","")</f>
        <v/>
      </c>
      <c r="R76" s="174" t="str">
        <f>IF($R$9&gt;8,R74+(P75*($R$9-8)),"")</f>
        <v/>
      </c>
      <c r="S76" s="126" t="str">
        <f>IF($R$9&gt;8,R76+1,"")</f>
        <v/>
      </c>
      <c r="T76" s="181" t="str">
        <f>IF($R$9&gt;8,"-","")</f>
        <v/>
      </c>
      <c r="U76" s="174" t="str">
        <f>IF($R$9&gt;8,U74+(S75*($R$9-8)),"")</f>
        <v/>
      </c>
      <c r="V76" s="183" t="str">
        <f>IF(R9&gt;8,"&gt;","")</f>
        <v/>
      </c>
      <c r="W76" s="156" t="str">
        <f t="shared" si="10"/>
        <v/>
      </c>
    </row>
    <row r="77" spans="1:30" ht="13" thickBot="1" x14ac:dyDescent="0.3">
      <c r="A77" s="25"/>
      <c r="B77" s="62"/>
      <c r="C77" s="62"/>
      <c r="D77" s="62"/>
      <c r="E77" s="29"/>
      <c r="F77" s="62"/>
      <c r="G77" s="62"/>
      <c r="H77" s="29"/>
      <c r="I77" s="62"/>
      <c r="J77" s="62"/>
      <c r="K77" s="62"/>
      <c r="L77" s="29"/>
      <c r="M77" s="62"/>
      <c r="N77" s="62"/>
      <c r="O77" s="29"/>
      <c r="P77" s="62"/>
      <c r="Q77" s="62"/>
      <c r="R77" s="29"/>
      <c r="S77" s="62"/>
      <c r="T77" s="62"/>
      <c r="U77" s="62"/>
      <c r="V77" s="155"/>
      <c r="W77" s="22"/>
    </row>
    <row r="78" spans="1:30" ht="13" thickTop="1" x14ac:dyDescent="0.25"/>
    <row r="79" spans="1:30" x14ac:dyDescent="0.25">
      <c r="A79" s="226" t="s">
        <v>327</v>
      </c>
      <c r="B79" s="6"/>
      <c r="C79" s="6"/>
    </row>
    <row r="80" spans="1:30" x14ac:dyDescent="0.25">
      <c r="B80" s="6"/>
      <c r="C80" s="6"/>
    </row>
    <row r="81" spans="1:21" ht="18" thickBot="1" x14ac:dyDescent="0.55000000000000004">
      <c r="A81" s="383"/>
      <c r="B81" s="383"/>
      <c r="C81" s="383"/>
      <c r="D81" s="383"/>
      <c r="E81" s="17"/>
      <c r="F81" s="17"/>
      <c r="G81" s="17"/>
      <c r="H81" s="17"/>
      <c r="I81" s="17"/>
      <c r="J81" s="17"/>
      <c r="K81" s="383"/>
      <c r="L81" s="383"/>
      <c r="M81" s="383"/>
      <c r="N81" s="383"/>
      <c r="O81" s="272"/>
      <c r="U81" s="74" t="str">
        <f>U42</f>
        <v>created 11/12</v>
      </c>
    </row>
    <row r="82" spans="1:21" x14ac:dyDescent="0.25">
      <c r="A82" s="45" t="s">
        <v>38</v>
      </c>
      <c r="B82" s="45"/>
      <c r="C82" s="45"/>
      <c r="D82" s="17"/>
      <c r="E82" s="17"/>
      <c r="F82" s="17"/>
      <c r="G82" s="17"/>
      <c r="K82" s="45" t="s">
        <v>39</v>
      </c>
      <c r="L82" s="17"/>
      <c r="M82" s="17"/>
      <c r="N82" s="17"/>
      <c r="O82" s="17"/>
    </row>
    <row r="95" spans="1:21" x14ac:dyDescent="0.25">
      <c r="P95" s="69"/>
      <c r="Q95" s="69"/>
    </row>
    <row r="96" spans="1:21" x14ac:dyDescent="0.25">
      <c r="P96" s="17"/>
      <c r="Q96" s="17"/>
    </row>
  </sheetData>
  <sheetProtection sheet="1" objects="1" scenarios="1"/>
  <mergeCells count="190">
    <mergeCell ref="K81:N81"/>
    <mergeCell ref="Q57:S57"/>
    <mergeCell ref="P61:R61"/>
    <mergeCell ref="P13:R13"/>
    <mergeCell ref="S13:U13"/>
    <mergeCell ref="S15:U15"/>
    <mergeCell ref="S16:U16"/>
    <mergeCell ref="S17:U17"/>
    <mergeCell ref="S24:U24"/>
    <mergeCell ref="P17:R17"/>
    <mergeCell ref="P18:R18"/>
    <mergeCell ref="P19:R19"/>
    <mergeCell ref="P20:R20"/>
    <mergeCell ref="P15:R15"/>
    <mergeCell ref="P16:R16"/>
    <mergeCell ref="S19:U19"/>
    <mergeCell ref="S20:U20"/>
    <mergeCell ref="P23:R23"/>
    <mergeCell ref="S26:U26"/>
    <mergeCell ref="U44:V44"/>
    <mergeCell ref="U45:V45"/>
    <mergeCell ref="S18:U18"/>
    <mergeCell ref="O41:P41"/>
    <mergeCell ref="M17:O17"/>
    <mergeCell ref="S11:U11"/>
    <mergeCell ref="S12:U12"/>
    <mergeCell ref="S1:U1"/>
    <mergeCell ref="S2:U2"/>
    <mergeCell ref="P26:R26"/>
    <mergeCell ref="O9:Q9"/>
    <mergeCell ref="P11:R12"/>
    <mergeCell ref="S63:U63"/>
    <mergeCell ref="P75:R75"/>
    <mergeCell ref="S75:U75"/>
    <mergeCell ref="P62:R62"/>
    <mergeCell ref="P63:R63"/>
    <mergeCell ref="P65:R65"/>
    <mergeCell ref="M65:O65"/>
    <mergeCell ref="M66:O66"/>
    <mergeCell ref="M75:O75"/>
    <mergeCell ref="M63:O63"/>
    <mergeCell ref="M62:O62"/>
    <mergeCell ref="M64:O64"/>
    <mergeCell ref="P66:R66"/>
    <mergeCell ref="P64:R64"/>
    <mergeCell ref="M11:O12"/>
    <mergeCell ref="M13:O13"/>
    <mergeCell ref="M15:O15"/>
    <mergeCell ref="I11:L12"/>
    <mergeCell ref="I13:L13"/>
    <mergeCell ref="I15:L15"/>
    <mergeCell ref="I16:L16"/>
    <mergeCell ref="I17:L17"/>
    <mergeCell ref="I24:L24"/>
    <mergeCell ref="I26:L26"/>
    <mergeCell ref="S61:U61"/>
    <mergeCell ref="S62:U62"/>
    <mergeCell ref="M28:P28"/>
    <mergeCell ref="I61:L61"/>
    <mergeCell ref="I59:K59"/>
    <mergeCell ref="S21:U21"/>
    <mergeCell ref="S22:U22"/>
    <mergeCell ref="S23:U23"/>
    <mergeCell ref="P21:R21"/>
    <mergeCell ref="P24:R24"/>
    <mergeCell ref="M22:O22"/>
    <mergeCell ref="M23:O23"/>
    <mergeCell ref="M24:O24"/>
    <mergeCell ref="M61:O61"/>
    <mergeCell ref="M57:P57"/>
    <mergeCell ref="P22:R22"/>
    <mergeCell ref="I23:L23"/>
    <mergeCell ref="I57:K57"/>
    <mergeCell ref="I28:K28"/>
    <mergeCell ref="F23:H23"/>
    <mergeCell ref="F57:H57"/>
    <mergeCell ref="K76:L76"/>
    <mergeCell ref="I62:L62"/>
    <mergeCell ref="I63:L63"/>
    <mergeCell ref="I64:L64"/>
    <mergeCell ref="I65:L65"/>
    <mergeCell ref="K70:L70"/>
    <mergeCell ref="K71:L71"/>
    <mergeCell ref="K68:L68"/>
    <mergeCell ref="I66:L66"/>
    <mergeCell ref="K67:L67"/>
    <mergeCell ref="K74:L74"/>
    <mergeCell ref="I75:L75"/>
    <mergeCell ref="K72:L72"/>
    <mergeCell ref="K73:L73"/>
    <mergeCell ref="K69:L69"/>
    <mergeCell ref="F66:H66"/>
    <mergeCell ref="F75:H75"/>
    <mergeCell ref="K41:N41"/>
    <mergeCell ref="D72:E72"/>
    <mergeCell ref="D76:E76"/>
    <mergeCell ref="M18:O18"/>
    <mergeCell ref="A41:D41"/>
    <mergeCell ref="A45:D45"/>
    <mergeCell ref="I20:L20"/>
    <mergeCell ref="A44:D44"/>
    <mergeCell ref="B13:E13"/>
    <mergeCell ref="B15:E15"/>
    <mergeCell ref="F15:H15"/>
    <mergeCell ref="I18:L18"/>
    <mergeCell ref="I21:L21"/>
    <mergeCell ref="I22:L22"/>
    <mergeCell ref="M19:O19"/>
    <mergeCell ref="M26:O26"/>
    <mergeCell ref="M14:O14"/>
    <mergeCell ref="F16:H16"/>
    <mergeCell ref="F17:H17"/>
    <mergeCell ref="F18:H18"/>
    <mergeCell ref="B16:E16"/>
    <mergeCell ref="B17:E17"/>
    <mergeCell ref="H45:K45"/>
    <mergeCell ref="O44:P44"/>
    <mergeCell ref="O45:P45"/>
    <mergeCell ref="F22:H22"/>
    <mergeCell ref="A81:D81"/>
    <mergeCell ref="B64:E64"/>
    <mergeCell ref="B65:E65"/>
    <mergeCell ref="B66:E66"/>
    <mergeCell ref="B75:E75"/>
    <mergeCell ref="B23:E23"/>
    <mergeCell ref="B24:E24"/>
    <mergeCell ref="M20:O20"/>
    <mergeCell ref="M21:O21"/>
    <mergeCell ref="F20:H20"/>
    <mergeCell ref="B21:E21"/>
    <mergeCell ref="B26:E26"/>
    <mergeCell ref="B28:E28"/>
    <mergeCell ref="F26:H26"/>
    <mergeCell ref="H44:K44"/>
    <mergeCell ref="F59:H59"/>
    <mergeCell ref="F61:H61"/>
    <mergeCell ref="B59:D59"/>
    <mergeCell ref="D70:E70"/>
    <mergeCell ref="D71:E71"/>
    <mergeCell ref="D69:E69"/>
    <mergeCell ref="D67:E67"/>
    <mergeCell ref="D73:E73"/>
    <mergeCell ref="D68:E68"/>
    <mergeCell ref="B18:E18"/>
    <mergeCell ref="F63:H63"/>
    <mergeCell ref="F19:H19"/>
    <mergeCell ref="F21:H21"/>
    <mergeCell ref="P14:R14"/>
    <mergeCell ref="S14:U14"/>
    <mergeCell ref="A1:D1"/>
    <mergeCell ref="H1:K1"/>
    <mergeCell ref="A2:D2"/>
    <mergeCell ref="H2:K2"/>
    <mergeCell ref="F24:H24"/>
    <mergeCell ref="B22:E22"/>
    <mergeCell ref="B19:E19"/>
    <mergeCell ref="B20:E20"/>
    <mergeCell ref="B11:E12"/>
    <mergeCell ref="F13:H13"/>
    <mergeCell ref="F11:H12"/>
    <mergeCell ref="I19:L19"/>
    <mergeCell ref="B14:E14"/>
    <mergeCell ref="F14:H14"/>
    <mergeCell ref="I14:L14"/>
    <mergeCell ref="M16:O16"/>
    <mergeCell ref="O1:P1"/>
    <mergeCell ref="O47:P47"/>
    <mergeCell ref="O4:P4"/>
    <mergeCell ref="V61:W61"/>
    <mergeCell ref="V62:W62"/>
    <mergeCell ref="V63:W63"/>
    <mergeCell ref="V65:W65"/>
    <mergeCell ref="V75:W75"/>
    <mergeCell ref="B53:D53"/>
    <mergeCell ref="B63:E63"/>
    <mergeCell ref="S64:U64"/>
    <mergeCell ref="S65:U65"/>
    <mergeCell ref="S66:U66"/>
    <mergeCell ref="B62:E62"/>
    <mergeCell ref="B61:E61"/>
    <mergeCell ref="B55:D55"/>
    <mergeCell ref="B57:D57"/>
    <mergeCell ref="F64:H64"/>
    <mergeCell ref="D74:E74"/>
    <mergeCell ref="F62:H62"/>
    <mergeCell ref="F53:H53"/>
    <mergeCell ref="I53:K53"/>
    <mergeCell ref="F55:H55"/>
    <mergeCell ref="I55:K55"/>
    <mergeCell ref="F65:H65"/>
  </mergeCells>
  <phoneticPr fontId="0" type="noConversion"/>
  <conditionalFormatting sqref="B67">
    <cfRule type="expression" dxfId="369" priority="739" stopIfTrue="1">
      <formula>AND(B59="Cat 1",R9=1)</formula>
    </cfRule>
  </conditionalFormatting>
  <conditionalFormatting sqref="C67">
    <cfRule type="expression" dxfId="368" priority="740" stopIfTrue="1">
      <formula>AND(B59="Cat 1",R9=1)</formula>
    </cfRule>
  </conditionalFormatting>
  <conditionalFormatting sqref="D67:E67">
    <cfRule type="expression" dxfId="367" priority="741" stopIfTrue="1">
      <formula>AND(B59="Cat 1",R9=1)</formula>
    </cfRule>
  </conditionalFormatting>
  <conditionalFormatting sqref="B68">
    <cfRule type="expression" dxfId="366" priority="742" stopIfTrue="1">
      <formula>AND(B59="Cat 1",R9=2)</formula>
    </cfRule>
  </conditionalFormatting>
  <conditionalFormatting sqref="C68">
    <cfRule type="expression" dxfId="365" priority="743" stopIfTrue="1">
      <formula>AND(B59="Cat 1",R9=2)</formula>
    </cfRule>
  </conditionalFormatting>
  <conditionalFormatting sqref="D68:E68">
    <cfRule type="expression" dxfId="364" priority="744" stopIfTrue="1">
      <formula>AND(B59="Cat 1",R9=2)</formula>
    </cfRule>
  </conditionalFormatting>
  <conditionalFormatting sqref="B69">
    <cfRule type="expression" dxfId="363" priority="745" stopIfTrue="1">
      <formula>AND(B59="Cat 1",R9=3)</formula>
    </cfRule>
  </conditionalFormatting>
  <conditionalFormatting sqref="C69">
    <cfRule type="expression" dxfId="362" priority="746" stopIfTrue="1">
      <formula>AND(B59="Cat 1",R9=3)</formula>
    </cfRule>
  </conditionalFormatting>
  <conditionalFormatting sqref="D69:E69">
    <cfRule type="expression" dxfId="361" priority="747" stopIfTrue="1">
      <formula>AND(B59="Cat 1",R9=3)</formula>
    </cfRule>
  </conditionalFormatting>
  <conditionalFormatting sqref="B70">
    <cfRule type="expression" dxfId="360" priority="748" stopIfTrue="1">
      <formula>AND(B59="Cat 1",R9=4)</formula>
    </cfRule>
  </conditionalFormatting>
  <conditionalFormatting sqref="C70">
    <cfRule type="expression" dxfId="359" priority="749" stopIfTrue="1">
      <formula>AND(B59="Cat 1",R9=4)</formula>
    </cfRule>
  </conditionalFormatting>
  <conditionalFormatting sqref="D70:E70">
    <cfRule type="expression" dxfId="358" priority="750" stopIfTrue="1">
      <formula>AND(B59="Cat 1",R9=4)</formula>
    </cfRule>
  </conditionalFormatting>
  <conditionalFormatting sqref="B71">
    <cfRule type="expression" dxfId="357" priority="751" stopIfTrue="1">
      <formula>AND(B59="Cat 1",R9=5)</formula>
    </cfRule>
  </conditionalFormatting>
  <conditionalFormatting sqref="C71">
    <cfRule type="expression" dxfId="356" priority="752" stopIfTrue="1">
      <formula>AND(B59="Cat 1",R9=5)</formula>
    </cfRule>
  </conditionalFormatting>
  <conditionalFormatting sqref="D71:E71">
    <cfRule type="expression" dxfId="355" priority="753" stopIfTrue="1">
      <formula>AND(B59="Cat 1",R9=5)</formula>
    </cfRule>
  </conditionalFormatting>
  <conditionalFormatting sqref="B72">
    <cfRule type="expression" dxfId="354" priority="754" stopIfTrue="1">
      <formula>AND(B59="Cat 1",R9=6)</formula>
    </cfRule>
  </conditionalFormatting>
  <conditionalFormatting sqref="C72">
    <cfRule type="expression" dxfId="353" priority="755" stopIfTrue="1">
      <formula>AND(B59="Cat 1",R9=6)</formula>
    </cfRule>
  </conditionalFormatting>
  <conditionalFormatting sqref="D72:E72">
    <cfRule type="expression" dxfId="352" priority="756" stopIfTrue="1">
      <formula>AND(B59="Cat 1",R9=6)</formula>
    </cfRule>
  </conditionalFormatting>
  <conditionalFormatting sqref="B73">
    <cfRule type="expression" dxfId="351" priority="757" stopIfTrue="1">
      <formula>AND(B59="Cat 1",R9=7)</formula>
    </cfRule>
  </conditionalFormatting>
  <conditionalFormatting sqref="C73">
    <cfRule type="expression" dxfId="350" priority="758" stopIfTrue="1">
      <formula>AND(B59="Cat 1",R9=7)</formula>
    </cfRule>
  </conditionalFormatting>
  <conditionalFormatting sqref="D73:E73">
    <cfRule type="expression" dxfId="349" priority="759" stopIfTrue="1">
      <formula>AND(B59="Cat 1",R9=7)</formula>
    </cfRule>
  </conditionalFormatting>
  <conditionalFormatting sqref="B74">
    <cfRule type="expression" dxfId="348" priority="760" stopIfTrue="1">
      <formula>AND(B59="Cat 1",R9=8)</formula>
    </cfRule>
  </conditionalFormatting>
  <conditionalFormatting sqref="C74">
    <cfRule type="expression" dxfId="347" priority="761" stopIfTrue="1">
      <formula>AND(B59="Cat 1",R9=8)</formula>
    </cfRule>
  </conditionalFormatting>
  <conditionalFormatting sqref="D74:E74">
    <cfRule type="expression" dxfId="346" priority="762" stopIfTrue="1">
      <formula>AND(B59="Cat 1",R9=8)</formula>
    </cfRule>
  </conditionalFormatting>
  <conditionalFormatting sqref="F67">
    <cfRule type="expression" dxfId="345" priority="763" stopIfTrue="1">
      <formula>AND(B59="Cat 2",R9=1)</formula>
    </cfRule>
  </conditionalFormatting>
  <conditionalFormatting sqref="G67">
    <cfRule type="expression" dxfId="344" priority="764" stopIfTrue="1">
      <formula>AND(B59="Cat 2",R9=1)</formula>
    </cfRule>
  </conditionalFormatting>
  <conditionalFormatting sqref="H67">
    <cfRule type="expression" dxfId="343" priority="765" stopIfTrue="1">
      <formula>AND(B59="Cat 2",R9=1)</formula>
    </cfRule>
  </conditionalFormatting>
  <conditionalFormatting sqref="F68">
    <cfRule type="expression" dxfId="342" priority="766" stopIfTrue="1">
      <formula>AND(B59="Cat 2",R9=2)</formula>
    </cfRule>
  </conditionalFormatting>
  <conditionalFormatting sqref="G68">
    <cfRule type="expression" dxfId="341" priority="767" stopIfTrue="1">
      <formula>AND(B59="Cat 2",R9=2)</formula>
    </cfRule>
  </conditionalFormatting>
  <conditionalFormatting sqref="H68">
    <cfRule type="expression" dxfId="340" priority="768" stopIfTrue="1">
      <formula>AND(B59="Cat 2",R9=2)</formula>
    </cfRule>
  </conditionalFormatting>
  <conditionalFormatting sqref="F69">
    <cfRule type="expression" dxfId="339" priority="769" stopIfTrue="1">
      <formula>AND(B59="Cat 2",R9=3)</formula>
    </cfRule>
  </conditionalFormatting>
  <conditionalFormatting sqref="G69">
    <cfRule type="expression" dxfId="338" priority="770" stopIfTrue="1">
      <formula>AND(B59="Cat 2",R9=3)</formula>
    </cfRule>
  </conditionalFormatting>
  <conditionalFormatting sqref="H69">
    <cfRule type="expression" dxfId="337" priority="771" stopIfTrue="1">
      <formula>AND(B59="Cat 2",R9=3)</formula>
    </cfRule>
  </conditionalFormatting>
  <conditionalFormatting sqref="F70">
    <cfRule type="expression" dxfId="336" priority="772" stopIfTrue="1">
      <formula>AND(B59="Cat 2",R9=4)</formula>
    </cfRule>
  </conditionalFormatting>
  <conditionalFormatting sqref="G70">
    <cfRule type="expression" dxfId="335" priority="773" stopIfTrue="1">
      <formula>AND(B59="Cat 2",R9=4)</formula>
    </cfRule>
  </conditionalFormatting>
  <conditionalFormatting sqref="H70">
    <cfRule type="expression" dxfId="334" priority="774" stopIfTrue="1">
      <formula>AND(B59="Cat 2",R9=4)</formula>
    </cfRule>
  </conditionalFormatting>
  <conditionalFormatting sqref="F71">
    <cfRule type="expression" dxfId="333" priority="775" stopIfTrue="1">
      <formula>AND(B59="Cat 2",R9=5)</formula>
    </cfRule>
  </conditionalFormatting>
  <conditionalFormatting sqref="G71">
    <cfRule type="expression" dxfId="332" priority="776" stopIfTrue="1">
      <formula>AND(B59="Cat 2",R9=5)</formula>
    </cfRule>
  </conditionalFormatting>
  <conditionalFormatting sqref="H71">
    <cfRule type="expression" dxfId="331" priority="777" stopIfTrue="1">
      <formula>AND(B59="Cat 2",R9=5)</formula>
    </cfRule>
  </conditionalFormatting>
  <conditionalFormatting sqref="F72">
    <cfRule type="expression" dxfId="330" priority="778" stopIfTrue="1">
      <formula>AND(B59="Cat 2",R9=6)</formula>
    </cfRule>
  </conditionalFormatting>
  <conditionalFormatting sqref="G72">
    <cfRule type="expression" dxfId="329" priority="779" stopIfTrue="1">
      <formula>AND(B59="Cat 2",R9=6)</formula>
    </cfRule>
  </conditionalFormatting>
  <conditionalFormatting sqref="H72">
    <cfRule type="expression" dxfId="328" priority="780" stopIfTrue="1">
      <formula>AND(B59="Cat 2",R9=6)</formula>
    </cfRule>
  </conditionalFormatting>
  <conditionalFormatting sqref="F73">
    <cfRule type="expression" dxfId="327" priority="781" stopIfTrue="1">
      <formula>AND(B59="Cat 2",R9=7)</formula>
    </cfRule>
  </conditionalFormatting>
  <conditionalFormatting sqref="G73">
    <cfRule type="expression" dxfId="326" priority="782" stopIfTrue="1">
      <formula>AND(B59="Cat 2",R9=7)</formula>
    </cfRule>
  </conditionalFormatting>
  <conditionalFormatting sqref="H73">
    <cfRule type="expression" dxfId="325" priority="783" stopIfTrue="1">
      <formula>AND(B59="Cat 2",R9=7)</formula>
    </cfRule>
  </conditionalFormatting>
  <conditionalFormatting sqref="F74">
    <cfRule type="expression" dxfId="324" priority="784" stopIfTrue="1">
      <formula>AND(B59="Cat 2",R9=8)</formula>
    </cfRule>
  </conditionalFormatting>
  <conditionalFormatting sqref="G74">
    <cfRule type="expression" dxfId="323" priority="785" stopIfTrue="1">
      <formula>AND(B59="Cat 2",R9=8)</formula>
    </cfRule>
  </conditionalFormatting>
  <conditionalFormatting sqref="H74">
    <cfRule type="expression" dxfId="322" priority="786" stopIfTrue="1">
      <formula>AND(B59="Cat 2",R9=8)</formula>
    </cfRule>
  </conditionalFormatting>
  <conditionalFormatting sqref="I67">
    <cfRule type="expression" dxfId="321" priority="787" stopIfTrue="1">
      <formula>AND(B59="Cat 3",R9=1)</formula>
    </cfRule>
  </conditionalFormatting>
  <conditionalFormatting sqref="J67">
    <cfRule type="expression" dxfId="320" priority="788" stopIfTrue="1">
      <formula>AND(B59="Cat 3",R9=1)</formula>
    </cfRule>
  </conditionalFormatting>
  <conditionalFormatting sqref="K67:L67">
    <cfRule type="expression" dxfId="319" priority="789" stopIfTrue="1">
      <formula>AND(B59="Cat 3",R9=1)</formula>
    </cfRule>
  </conditionalFormatting>
  <conditionalFormatting sqref="M67">
    <cfRule type="expression" dxfId="318" priority="790" stopIfTrue="1">
      <formula>AND(B59="Cat 4",R9=1)</formula>
    </cfRule>
  </conditionalFormatting>
  <conditionalFormatting sqref="N67">
    <cfRule type="expression" dxfId="317" priority="791" stopIfTrue="1">
      <formula>AND(B59="Cat 4",R9=1)</formula>
    </cfRule>
  </conditionalFormatting>
  <conditionalFormatting sqref="O67">
    <cfRule type="expression" dxfId="316" priority="792" stopIfTrue="1">
      <formula>AND(B59="Cat 4",R9=1)</formula>
    </cfRule>
  </conditionalFormatting>
  <conditionalFormatting sqref="P67">
    <cfRule type="expression" dxfId="315" priority="793" stopIfTrue="1">
      <formula>AND(B59="Cat 5",R9=1)</formula>
    </cfRule>
  </conditionalFormatting>
  <conditionalFormatting sqref="Q67">
    <cfRule type="expression" dxfId="314" priority="794" stopIfTrue="1">
      <formula>AND(B59="Cat 5",R9=1)</formula>
    </cfRule>
  </conditionalFormatting>
  <conditionalFormatting sqref="R67">
    <cfRule type="expression" dxfId="313" priority="795" stopIfTrue="1">
      <formula>AND(B59="Cat 5",R9=1)</formula>
    </cfRule>
  </conditionalFormatting>
  <conditionalFormatting sqref="S67">
    <cfRule type="expression" dxfId="312" priority="796" stopIfTrue="1">
      <formula>AND(B59="Cat 6",R9=1)</formula>
    </cfRule>
  </conditionalFormatting>
  <conditionalFormatting sqref="T67">
    <cfRule type="expression" dxfId="311" priority="797" stopIfTrue="1">
      <formula>AND(B59="Cat 6",R9=1)</formula>
    </cfRule>
  </conditionalFormatting>
  <conditionalFormatting sqref="U67">
    <cfRule type="expression" dxfId="310" priority="798" stopIfTrue="1">
      <formula>AND(B59="Cat 6",R9=1)</formula>
    </cfRule>
  </conditionalFormatting>
  <conditionalFormatting sqref="V67">
    <cfRule type="expression" dxfId="309" priority="799" stopIfTrue="1">
      <formula>AND(B59="N/A",R9=1)</formula>
    </cfRule>
  </conditionalFormatting>
  <conditionalFormatting sqref="W67">
    <cfRule type="expression" dxfId="308" priority="800" stopIfTrue="1">
      <formula>AND(B59="N/A",R9=1)</formula>
    </cfRule>
  </conditionalFormatting>
  <conditionalFormatting sqref="W68">
    <cfRule type="expression" dxfId="307" priority="801" stopIfTrue="1">
      <formula>AND(B59="N/A",R9=2)</formula>
    </cfRule>
  </conditionalFormatting>
  <conditionalFormatting sqref="V68">
    <cfRule type="expression" dxfId="306" priority="802" stopIfTrue="1">
      <formula>AND(B59="N/A",R9=2)</formula>
    </cfRule>
  </conditionalFormatting>
  <conditionalFormatting sqref="U68">
    <cfRule type="expression" dxfId="305" priority="803" stopIfTrue="1">
      <formula>AND(B59="Cat 6",R9=2)</formula>
    </cfRule>
  </conditionalFormatting>
  <conditionalFormatting sqref="T68">
    <cfRule type="expression" dxfId="304" priority="804" stopIfTrue="1">
      <formula>AND(B59="Cat 6",R9=2)</formula>
    </cfRule>
  </conditionalFormatting>
  <conditionalFormatting sqref="S68">
    <cfRule type="expression" dxfId="303" priority="805" stopIfTrue="1">
      <formula>AND(B59="Cat 6",R9=2)</formula>
    </cfRule>
  </conditionalFormatting>
  <conditionalFormatting sqref="R68">
    <cfRule type="expression" dxfId="302" priority="806" stopIfTrue="1">
      <formula>AND(B59="Cat 5",R9=2)</formula>
    </cfRule>
  </conditionalFormatting>
  <conditionalFormatting sqref="Q68">
    <cfRule type="expression" dxfId="301" priority="807" stopIfTrue="1">
      <formula>AND(B59="Cat 5",R9=2)</formula>
    </cfRule>
  </conditionalFormatting>
  <conditionalFormatting sqref="P68">
    <cfRule type="expression" dxfId="300" priority="808" stopIfTrue="1">
      <formula>AND(B59="Cat 5",R9=2)</formula>
    </cfRule>
  </conditionalFormatting>
  <conditionalFormatting sqref="O68">
    <cfRule type="expression" dxfId="299" priority="809" stopIfTrue="1">
      <formula>AND(B59="Cat 4",R9=2)</formula>
    </cfRule>
  </conditionalFormatting>
  <conditionalFormatting sqref="N68">
    <cfRule type="expression" dxfId="298" priority="810" stopIfTrue="1">
      <formula>AND(B59="Cat 4",R9=2)</formula>
    </cfRule>
  </conditionalFormatting>
  <conditionalFormatting sqref="M68">
    <cfRule type="expression" dxfId="297" priority="811" stopIfTrue="1">
      <formula>AND(B59="Cat 4",R9=2)</formula>
    </cfRule>
  </conditionalFormatting>
  <conditionalFormatting sqref="K68:L68">
    <cfRule type="expression" dxfId="296" priority="812" stopIfTrue="1">
      <formula>AND(B59="Cat 3",R9=2)</formula>
    </cfRule>
  </conditionalFormatting>
  <conditionalFormatting sqref="J68">
    <cfRule type="expression" dxfId="295" priority="813" stopIfTrue="1">
      <formula>AND(B59="Cat 3",R9=2)</formula>
    </cfRule>
  </conditionalFormatting>
  <conditionalFormatting sqref="I68">
    <cfRule type="expression" dxfId="294" priority="814" stopIfTrue="1">
      <formula>AND(B59="Cat 3",R9=2)</formula>
    </cfRule>
  </conditionalFormatting>
  <conditionalFormatting sqref="I69">
    <cfRule type="expression" dxfId="293" priority="815" stopIfTrue="1">
      <formula>AND(B59="Cat 3",R9=3)</formula>
    </cfRule>
  </conditionalFormatting>
  <conditionalFormatting sqref="J69">
    <cfRule type="expression" dxfId="292" priority="816" stopIfTrue="1">
      <formula>AND(B59="Cat 3",R9=3)</formula>
    </cfRule>
  </conditionalFormatting>
  <conditionalFormatting sqref="K69:L69">
    <cfRule type="expression" dxfId="291" priority="817" stopIfTrue="1">
      <formula>AND(B59="Cat 3",R9=3)</formula>
    </cfRule>
  </conditionalFormatting>
  <conditionalFormatting sqref="M69">
    <cfRule type="expression" dxfId="290" priority="818" stopIfTrue="1">
      <formula>AND(B59="Cat 4",R9=3)</formula>
    </cfRule>
  </conditionalFormatting>
  <conditionalFormatting sqref="N69">
    <cfRule type="expression" dxfId="289" priority="819" stopIfTrue="1">
      <formula>AND(B59="Cat 4",R9=3)</formula>
    </cfRule>
  </conditionalFormatting>
  <conditionalFormatting sqref="O69">
    <cfRule type="expression" dxfId="288" priority="820" stopIfTrue="1">
      <formula>AND(B59="Cat 4",R9=3)</formula>
    </cfRule>
  </conditionalFormatting>
  <conditionalFormatting sqref="P69">
    <cfRule type="expression" dxfId="287" priority="821" stopIfTrue="1">
      <formula>AND(B59="Cat 5",R9=3)</formula>
    </cfRule>
  </conditionalFormatting>
  <conditionalFormatting sqref="Q69">
    <cfRule type="expression" dxfId="286" priority="822" stopIfTrue="1">
      <formula>AND(B59="Cat 5",R9=3)</formula>
    </cfRule>
  </conditionalFormatting>
  <conditionalFormatting sqref="R69">
    <cfRule type="expression" dxfId="285" priority="823" stopIfTrue="1">
      <formula>AND(B59="Cat 5",R9=3)</formula>
    </cfRule>
  </conditionalFormatting>
  <conditionalFormatting sqref="S69">
    <cfRule type="expression" dxfId="284" priority="824" stopIfTrue="1">
      <formula>AND(B59="Cat 6",R9=3)</formula>
    </cfRule>
  </conditionalFormatting>
  <conditionalFormatting sqref="T69">
    <cfRule type="expression" dxfId="283" priority="825" stopIfTrue="1">
      <formula>AND(B59="Cat 6",R9=3)</formula>
    </cfRule>
  </conditionalFormatting>
  <conditionalFormatting sqref="U69">
    <cfRule type="expression" dxfId="282" priority="826" stopIfTrue="1">
      <formula>AND(B59="Cat 6",R9=3)</formula>
    </cfRule>
  </conditionalFormatting>
  <conditionalFormatting sqref="V69">
    <cfRule type="expression" dxfId="281" priority="827" stopIfTrue="1">
      <formula>AND(B59="N/A",R9=3)</formula>
    </cfRule>
  </conditionalFormatting>
  <conditionalFormatting sqref="W69">
    <cfRule type="expression" dxfId="280" priority="828" stopIfTrue="1">
      <formula>AND(B59="N/A",R9=3)</formula>
    </cfRule>
  </conditionalFormatting>
  <conditionalFormatting sqref="W70">
    <cfRule type="expression" dxfId="279" priority="829" stopIfTrue="1">
      <formula>AND(B59="N/A",R9=4)</formula>
    </cfRule>
  </conditionalFormatting>
  <conditionalFormatting sqref="V70">
    <cfRule type="expression" dxfId="278" priority="830" stopIfTrue="1">
      <formula>AND(B59="N/A",R9=4)</formula>
    </cfRule>
  </conditionalFormatting>
  <conditionalFormatting sqref="U70">
    <cfRule type="expression" dxfId="277" priority="831" stopIfTrue="1">
      <formula>AND(B59="Cat 6",R9=4)</formula>
    </cfRule>
  </conditionalFormatting>
  <conditionalFormatting sqref="T70">
    <cfRule type="expression" dxfId="276" priority="832" stopIfTrue="1">
      <formula>AND(B59="Cat 6",R9=4)</formula>
    </cfRule>
  </conditionalFormatting>
  <conditionalFormatting sqref="S70">
    <cfRule type="expression" dxfId="275" priority="833" stopIfTrue="1">
      <formula>AND(B59="Cat 6",R9=4)</formula>
    </cfRule>
  </conditionalFormatting>
  <conditionalFormatting sqref="R70">
    <cfRule type="expression" dxfId="274" priority="834" stopIfTrue="1">
      <formula>AND(B59="Cat 5",R9=4)</formula>
    </cfRule>
  </conditionalFormatting>
  <conditionalFormatting sqref="Q70">
    <cfRule type="expression" dxfId="273" priority="835" stopIfTrue="1">
      <formula>AND(B59="Cat 5",R9=4)</formula>
    </cfRule>
  </conditionalFormatting>
  <conditionalFormatting sqref="P70">
    <cfRule type="expression" dxfId="272" priority="836" stopIfTrue="1">
      <formula>AND(B59="Cat 5",R9=4)</formula>
    </cfRule>
  </conditionalFormatting>
  <conditionalFormatting sqref="O70">
    <cfRule type="expression" dxfId="271" priority="837" stopIfTrue="1">
      <formula>AND(B59="Cat 4",R9=4)</formula>
    </cfRule>
  </conditionalFormatting>
  <conditionalFormatting sqref="N70">
    <cfRule type="expression" dxfId="270" priority="838" stopIfTrue="1">
      <formula>AND(B59="Cat 4",R9=4)</formula>
    </cfRule>
  </conditionalFormatting>
  <conditionalFormatting sqref="M70">
    <cfRule type="expression" dxfId="269" priority="839" stopIfTrue="1">
      <formula>AND(B59="Cat 4",R9=4)</formula>
    </cfRule>
  </conditionalFormatting>
  <conditionalFormatting sqref="K70:L70">
    <cfRule type="expression" dxfId="268" priority="840" stopIfTrue="1">
      <formula>AND(B59="Cat 3",R9=4)</formula>
    </cfRule>
  </conditionalFormatting>
  <conditionalFormatting sqref="J70">
    <cfRule type="expression" dxfId="267" priority="841" stopIfTrue="1">
      <formula>AND(B59="Cat 3",R9=4)</formula>
    </cfRule>
  </conditionalFormatting>
  <conditionalFormatting sqref="I70">
    <cfRule type="expression" dxfId="266" priority="842" stopIfTrue="1">
      <formula>AND(B59="Cat 3",R9=4)</formula>
    </cfRule>
  </conditionalFormatting>
  <conditionalFormatting sqref="I71">
    <cfRule type="expression" dxfId="265" priority="843" stopIfTrue="1">
      <formula>AND(B59="Cat 3",R9=5)</formula>
    </cfRule>
  </conditionalFormatting>
  <conditionalFormatting sqref="J71">
    <cfRule type="expression" dxfId="264" priority="844" stopIfTrue="1">
      <formula>AND(B59="Cat 3",R9=5)</formula>
    </cfRule>
  </conditionalFormatting>
  <conditionalFormatting sqref="K71:L71">
    <cfRule type="expression" dxfId="263" priority="845" stopIfTrue="1">
      <formula>AND(B59="Cat 3",R9=5)</formula>
    </cfRule>
  </conditionalFormatting>
  <conditionalFormatting sqref="M71">
    <cfRule type="expression" dxfId="262" priority="846" stopIfTrue="1">
      <formula>AND(B59="Cat 4",R9=5)</formula>
    </cfRule>
  </conditionalFormatting>
  <conditionalFormatting sqref="N71">
    <cfRule type="expression" dxfId="261" priority="847" stopIfTrue="1">
      <formula>AND(B59="Cat 4",R9=5)</formula>
    </cfRule>
  </conditionalFormatting>
  <conditionalFormatting sqref="O71">
    <cfRule type="expression" dxfId="260" priority="848" stopIfTrue="1">
      <formula>AND(B59="Cat 4",R9=5)</formula>
    </cfRule>
  </conditionalFormatting>
  <conditionalFormatting sqref="P71">
    <cfRule type="expression" dxfId="259" priority="849" stopIfTrue="1">
      <formula>AND(B59="Cat 5",R9=5)</formula>
    </cfRule>
  </conditionalFormatting>
  <conditionalFormatting sqref="Q71">
    <cfRule type="expression" dxfId="258" priority="850" stopIfTrue="1">
      <formula>AND(B59="Cat 5",R9=5)</formula>
    </cfRule>
  </conditionalFormatting>
  <conditionalFormatting sqref="R71">
    <cfRule type="expression" dxfId="257" priority="851" stopIfTrue="1">
      <formula>AND(B59="Cat 5",R9=5)</formula>
    </cfRule>
  </conditionalFormatting>
  <conditionalFormatting sqref="S71">
    <cfRule type="expression" dxfId="256" priority="852" stopIfTrue="1">
      <formula>AND(B59="Cat 6",R9=5)</formula>
    </cfRule>
  </conditionalFormatting>
  <conditionalFormatting sqref="T71">
    <cfRule type="expression" dxfId="255" priority="853" stopIfTrue="1">
      <formula>AND(B59="Cat 6",R9=5)</formula>
    </cfRule>
  </conditionalFormatting>
  <conditionalFormatting sqref="U71">
    <cfRule type="expression" dxfId="254" priority="854" stopIfTrue="1">
      <formula>AND(B59="Cat 6",R9=5)</formula>
    </cfRule>
  </conditionalFormatting>
  <conditionalFormatting sqref="V71">
    <cfRule type="expression" dxfId="253" priority="855" stopIfTrue="1">
      <formula>AND(B59="N/A",R9=5)</formula>
    </cfRule>
  </conditionalFormatting>
  <conditionalFormatting sqref="W71">
    <cfRule type="expression" dxfId="252" priority="856" stopIfTrue="1">
      <formula>AND(B59="N/A",R9=5)</formula>
    </cfRule>
  </conditionalFormatting>
  <conditionalFormatting sqref="W72">
    <cfRule type="expression" dxfId="251" priority="857" stopIfTrue="1">
      <formula>AND(B59="N/A",R9=6)</formula>
    </cfRule>
  </conditionalFormatting>
  <conditionalFormatting sqref="V72">
    <cfRule type="expression" dxfId="250" priority="858" stopIfTrue="1">
      <formula>AND(B59="N/A",R9=6)</formula>
    </cfRule>
  </conditionalFormatting>
  <conditionalFormatting sqref="U72">
    <cfRule type="expression" dxfId="249" priority="859" stopIfTrue="1">
      <formula>AND(B59="Cat 6",R9=6)</formula>
    </cfRule>
  </conditionalFormatting>
  <conditionalFormatting sqref="T72">
    <cfRule type="expression" dxfId="248" priority="860" stopIfTrue="1">
      <formula>AND(B59="Cat 6",R9=6)</formula>
    </cfRule>
  </conditionalFormatting>
  <conditionalFormatting sqref="S72">
    <cfRule type="expression" dxfId="247" priority="861" stopIfTrue="1">
      <formula>AND(B59="Cat 6",R9=6)</formula>
    </cfRule>
  </conditionalFormatting>
  <conditionalFormatting sqref="R72">
    <cfRule type="expression" dxfId="246" priority="862" stopIfTrue="1">
      <formula>AND(B59="Cat 5",R9=6)</formula>
    </cfRule>
  </conditionalFormatting>
  <conditionalFormatting sqref="Q72">
    <cfRule type="expression" dxfId="245" priority="863" stopIfTrue="1">
      <formula>AND(B59="Cat 5",R9=6)</formula>
    </cfRule>
  </conditionalFormatting>
  <conditionalFormatting sqref="P72">
    <cfRule type="expression" dxfId="244" priority="864" stopIfTrue="1">
      <formula>AND(B59="Cat 5",R9=6)</formula>
    </cfRule>
  </conditionalFormatting>
  <conditionalFormatting sqref="O72">
    <cfRule type="expression" dxfId="243" priority="865" stopIfTrue="1">
      <formula>AND(B59="Cat 4",R9=6)</formula>
    </cfRule>
  </conditionalFormatting>
  <conditionalFormatting sqref="N72">
    <cfRule type="expression" dxfId="242" priority="866" stopIfTrue="1">
      <formula>AND(B59="Cat 4",R9=6)</formula>
    </cfRule>
  </conditionalFormatting>
  <conditionalFormatting sqref="M72">
    <cfRule type="expression" dxfId="241" priority="867" stopIfTrue="1">
      <formula>AND(B59="Cat 4",R9=6)</formula>
    </cfRule>
  </conditionalFormatting>
  <conditionalFormatting sqref="K72:L72">
    <cfRule type="expression" dxfId="240" priority="868" stopIfTrue="1">
      <formula>AND(B59="Cat 3",R9=6)</formula>
    </cfRule>
  </conditionalFormatting>
  <conditionalFormatting sqref="J72">
    <cfRule type="expression" dxfId="239" priority="869" stopIfTrue="1">
      <formula>AND(B59="Cat 3",R9=6)</formula>
    </cfRule>
  </conditionalFormatting>
  <conditionalFormatting sqref="I72">
    <cfRule type="expression" dxfId="238" priority="870" stopIfTrue="1">
      <formula>AND(B59="Cat 3",R9=6)</formula>
    </cfRule>
  </conditionalFormatting>
  <conditionalFormatting sqref="I73">
    <cfRule type="expression" dxfId="237" priority="871" stopIfTrue="1">
      <formula>AND(B59="Cat 3",R9=7)</formula>
    </cfRule>
  </conditionalFormatting>
  <conditionalFormatting sqref="J73">
    <cfRule type="expression" dxfId="236" priority="872" stopIfTrue="1">
      <formula>AND(B59="Cat 3",R9=7)</formula>
    </cfRule>
  </conditionalFormatting>
  <conditionalFormatting sqref="K73:L73">
    <cfRule type="expression" dxfId="235" priority="873" stopIfTrue="1">
      <formula>AND(B59="Cat 3",R9=7)</formula>
    </cfRule>
  </conditionalFormatting>
  <conditionalFormatting sqref="M73">
    <cfRule type="expression" dxfId="234" priority="874" stopIfTrue="1">
      <formula>AND(B59="Cat 4",R9=7)</formula>
    </cfRule>
  </conditionalFormatting>
  <conditionalFormatting sqref="N73">
    <cfRule type="expression" dxfId="233" priority="875" stopIfTrue="1">
      <formula>AND(B59="Cat 4",R9=7)</formula>
    </cfRule>
  </conditionalFormatting>
  <conditionalFormatting sqref="O73">
    <cfRule type="expression" dxfId="232" priority="876" stopIfTrue="1">
      <formula>AND(B59="Cat 4",R9=7)</formula>
    </cfRule>
  </conditionalFormatting>
  <conditionalFormatting sqref="P73">
    <cfRule type="expression" dxfId="231" priority="877" stopIfTrue="1">
      <formula>AND(B59="Cat 5",R9=7)</formula>
    </cfRule>
  </conditionalFormatting>
  <conditionalFormatting sqref="Q73">
    <cfRule type="expression" dxfId="230" priority="878" stopIfTrue="1">
      <formula>AND(B59="Cat 5",R9=7)</formula>
    </cfRule>
  </conditionalFormatting>
  <conditionalFormatting sqref="R73">
    <cfRule type="expression" dxfId="229" priority="879" stopIfTrue="1">
      <formula>AND(B59="Cat 5",R9=7)</formula>
    </cfRule>
  </conditionalFormatting>
  <conditionalFormatting sqref="S73">
    <cfRule type="expression" dxfId="228" priority="880" stopIfTrue="1">
      <formula>AND(B59="Cat 6",R9=7)</formula>
    </cfRule>
  </conditionalFormatting>
  <conditionalFormatting sqref="T73">
    <cfRule type="expression" dxfId="227" priority="881" stopIfTrue="1">
      <formula>AND(B59="Cat 6",R9=7)</formula>
    </cfRule>
  </conditionalFormatting>
  <conditionalFormatting sqref="U73">
    <cfRule type="expression" dxfId="226" priority="882" stopIfTrue="1">
      <formula>AND(B59="Cat 6",R9=7)</formula>
    </cfRule>
  </conditionalFormatting>
  <conditionalFormatting sqref="V73">
    <cfRule type="expression" dxfId="225" priority="883" stopIfTrue="1">
      <formula>AND(B59="N/A",R9=7)</formula>
    </cfRule>
  </conditionalFormatting>
  <conditionalFormatting sqref="W73">
    <cfRule type="expression" dxfId="224" priority="884" stopIfTrue="1">
      <formula>AND(B59="N/A",R9=7)</formula>
    </cfRule>
  </conditionalFormatting>
  <conditionalFormatting sqref="W74">
    <cfRule type="expression" dxfId="223" priority="885" stopIfTrue="1">
      <formula>AND(B59="N/A",R9=8)</formula>
    </cfRule>
  </conditionalFormatting>
  <conditionalFormatting sqref="V74">
    <cfRule type="expression" dxfId="222" priority="886" stopIfTrue="1">
      <formula>AND(B59="N/A",R9=8)</formula>
    </cfRule>
  </conditionalFormatting>
  <conditionalFormatting sqref="U74">
    <cfRule type="expression" dxfId="221" priority="887" stopIfTrue="1">
      <formula>AND(B59="Cat 6",R9=8)</formula>
    </cfRule>
  </conditionalFormatting>
  <conditionalFormatting sqref="T74">
    <cfRule type="expression" dxfId="220" priority="888" stopIfTrue="1">
      <formula>AND(B59="Cat 6",R9=8)</formula>
    </cfRule>
  </conditionalFormatting>
  <conditionalFormatting sqref="S74">
    <cfRule type="expression" dxfId="219" priority="889" stopIfTrue="1">
      <formula>AND(B59="Cat 6",R9=8)</formula>
    </cfRule>
  </conditionalFormatting>
  <conditionalFormatting sqref="R74">
    <cfRule type="expression" dxfId="218" priority="890" stopIfTrue="1">
      <formula>AND(B59="Cat 5",R9=8)</formula>
    </cfRule>
  </conditionalFormatting>
  <conditionalFormatting sqref="Q74">
    <cfRule type="expression" dxfId="217" priority="891" stopIfTrue="1">
      <formula>AND(B59="Cat 5",R9=8)</formula>
    </cfRule>
  </conditionalFormatting>
  <conditionalFormatting sqref="P74">
    <cfRule type="expression" dxfId="216" priority="892" stopIfTrue="1">
      <formula>AND(B59="Cat 5",R9=8)</formula>
    </cfRule>
  </conditionalFormatting>
  <conditionalFormatting sqref="O74">
    <cfRule type="expression" dxfId="215" priority="893" stopIfTrue="1">
      <formula>AND(B59="Cat 4",R9=8)</formula>
    </cfRule>
  </conditionalFormatting>
  <conditionalFormatting sqref="N74">
    <cfRule type="expression" dxfId="214" priority="894" stopIfTrue="1">
      <formula>AND(B59="Cat 4",R9=8)</formula>
    </cfRule>
  </conditionalFormatting>
  <conditionalFormatting sqref="M74">
    <cfRule type="expression" dxfId="213" priority="895" stopIfTrue="1">
      <formula>AND(B59="Cat 4",R9=8)</formula>
    </cfRule>
  </conditionalFormatting>
  <conditionalFormatting sqref="K74:L74">
    <cfRule type="expression" dxfId="212" priority="896" stopIfTrue="1">
      <formula>AND(B59="Cat 3",R9=8)</formula>
    </cfRule>
  </conditionalFormatting>
  <conditionalFormatting sqref="J74">
    <cfRule type="expression" dxfId="211" priority="897" stopIfTrue="1">
      <formula>AND(B59="Cat 3",R9=8)</formula>
    </cfRule>
  </conditionalFormatting>
  <conditionalFormatting sqref="I74">
    <cfRule type="expression" dxfId="210" priority="898" stopIfTrue="1">
      <formula>AND(B59="Cat 3",R9=8)</formula>
    </cfRule>
  </conditionalFormatting>
  <conditionalFormatting sqref="V76">
    <cfRule type="expression" dxfId="209" priority="899" stopIfTrue="1">
      <formula>AND(B59="N/A",R9&gt;8)</formula>
    </cfRule>
  </conditionalFormatting>
  <conditionalFormatting sqref="W76">
    <cfRule type="expression" dxfId="208" priority="900" stopIfTrue="1">
      <formula>AND(B59="N/A",R9&gt;8)</formula>
    </cfRule>
  </conditionalFormatting>
  <conditionalFormatting sqref="B76">
    <cfRule type="expression" dxfId="207" priority="901" stopIfTrue="1">
      <formula>AND(B59="Cat 1",R9&gt;8)</formula>
    </cfRule>
  </conditionalFormatting>
  <conditionalFormatting sqref="C76">
    <cfRule type="expression" dxfId="206" priority="902" stopIfTrue="1">
      <formula>AND(B59="Cat 1",R9&gt;8)</formula>
    </cfRule>
  </conditionalFormatting>
  <conditionalFormatting sqref="D76:E76">
    <cfRule type="expression" dxfId="205" priority="903" stopIfTrue="1">
      <formula>AND(B59="Cat 1",R9&gt;8)</formula>
    </cfRule>
  </conditionalFormatting>
  <conditionalFormatting sqref="F76">
    <cfRule type="expression" dxfId="204" priority="904" stopIfTrue="1">
      <formula>AND(B59="Cat 2",R9&gt;8)</formula>
    </cfRule>
  </conditionalFormatting>
  <conditionalFormatting sqref="G76">
    <cfRule type="expression" dxfId="203" priority="905" stopIfTrue="1">
      <formula>AND(B59="Cat 2",R9&gt;8)</formula>
    </cfRule>
  </conditionalFormatting>
  <conditionalFormatting sqref="H76">
    <cfRule type="expression" dxfId="202" priority="906" stopIfTrue="1">
      <formula>AND(B59="Cat 2",R9&gt;8)</formula>
    </cfRule>
  </conditionalFormatting>
  <conditionalFormatting sqref="I76">
    <cfRule type="expression" dxfId="201" priority="907" stopIfTrue="1">
      <formula>AND(B59="Cat 3",R9&gt;8)</formula>
    </cfRule>
  </conditionalFormatting>
  <conditionalFormatting sqref="J76">
    <cfRule type="expression" dxfId="200" priority="908" stopIfTrue="1">
      <formula>AND(B59="Cat 3",R9&gt;8)</formula>
    </cfRule>
  </conditionalFormatting>
  <conditionalFormatting sqref="K76:L76">
    <cfRule type="expression" dxfId="199" priority="909" stopIfTrue="1">
      <formula>AND(B59="Cat 3",R9&gt;8)</formula>
    </cfRule>
  </conditionalFormatting>
  <conditionalFormatting sqref="M76">
    <cfRule type="expression" dxfId="198" priority="910" stopIfTrue="1">
      <formula>AND(B59="Cat 4",R9&gt;8)</formula>
    </cfRule>
  </conditionalFormatting>
  <conditionalFormatting sqref="N76">
    <cfRule type="expression" dxfId="197" priority="911" stopIfTrue="1">
      <formula>AND(B59="Cat 4",R9&gt;8)</formula>
    </cfRule>
  </conditionalFormatting>
  <conditionalFormatting sqref="O76">
    <cfRule type="expression" dxfId="196" priority="912" stopIfTrue="1">
      <formula>AND(B59="Cat 4",R9&gt;8)</formula>
    </cfRule>
  </conditionalFormatting>
  <conditionalFormatting sqref="P76">
    <cfRule type="expression" dxfId="195" priority="913" stopIfTrue="1">
      <formula>AND(B59="Cat 5",R9&gt;8)</formula>
    </cfRule>
  </conditionalFormatting>
  <conditionalFormatting sqref="Q76">
    <cfRule type="expression" dxfId="194" priority="914" stopIfTrue="1">
      <formula>AND(B59="Cat 5",R9&gt;8)</formula>
    </cfRule>
  </conditionalFormatting>
  <conditionalFormatting sqref="R76">
    <cfRule type="expression" dxfId="193" priority="915" stopIfTrue="1">
      <formula>AND(B59="Cat 5",R9&gt;8)</formula>
    </cfRule>
  </conditionalFormatting>
  <conditionalFormatting sqref="S76">
    <cfRule type="expression" dxfId="192" priority="916" stopIfTrue="1">
      <formula>AND(B59="Cat 6",R9&gt;8)</formula>
    </cfRule>
  </conditionalFormatting>
  <conditionalFormatting sqref="T76">
    <cfRule type="expression" dxfId="191" priority="917" stopIfTrue="1">
      <formula>AND(B59="Cat 6",R9&gt;8)</formula>
    </cfRule>
  </conditionalFormatting>
  <conditionalFormatting sqref="U76">
    <cfRule type="expression" dxfId="190" priority="918" stopIfTrue="1">
      <formula>AND(B59="Cat 6",R9&gt;8)</formula>
    </cfRule>
  </conditionalFormatting>
  <pageMargins left="0.5" right="0.5" top="0.5" bottom="0.5" header="0.3" footer="0.3"/>
  <pageSetup scale="82" fitToHeight="0" orientation="landscape" horizontalDpi="300" verticalDpi="300" r:id="rId1"/>
  <headerFooter alignWithMargins="0">
    <oddHeader>&amp;L&amp;F&amp;R&amp;A</oddHeader>
  </headerFooter>
  <rowBreaks count="1" manualBreakCount="1">
    <brk id="42" max="16383" man="1"/>
  </rowBreaks>
  <colBreaks count="1" manualBreakCount="1">
    <brk id="29" max="6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M90"/>
  <sheetViews>
    <sheetView zoomScaleNormal="100" workbookViewId="0">
      <selection sqref="A1:D1"/>
    </sheetView>
  </sheetViews>
  <sheetFormatPr defaultColWidth="9.08984375" defaultRowHeight="12.5" x14ac:dyDescent="0.25"/>
  <cols>
    <col min="1" max="1" width="21.54296875" style="1" customWidth="1"/>
    <col min="2" max="2" width="5.90625" style="1" customWidth="1"/>
    <col min="3" max="3" width="1.36328125" style="1" customWidth="1"/>
    <col min="4" max="4" width="6.90625" style="1" customWidth="1"/>
    <col min="5" max="5" width="2.08984375" style="1" customWidth="1"/>
    <col min="6" max="6" width="9.08984375" style="1" customWidth="1"/>
    <col min="7" max="7" width="1.36328125" style="1" customWidth="1"/>
    <col min="8" max="8" width="11.08984375" style="1" customWidth="1"/>
    <col min="9" max="9" width="8.90625" style="1" customWidth="1"/>
    <col min="10" max="10" width="1.453125" style="1" customWidth="1"/>
    <col min="11" max="11" width="7.36328125" style="1" customWidth="1"/>
    <col min="12" max="12" width="1.6328125" style="1" customWidth="1"/>
    <col min="13" max="13" width="8.54296875" style="1" customWidth="1"/>
    <col min="14" max="14" width="1.6328125" style="1" customWidth="1"/>
    <col min="15" max="15" width="9.453125" style="1" customWidth="1"/>
    <col min="16" max="16" width="8.90625" style="1" customWidth="1"/>
    <col min="17" max="17" width="2.36328125" style="1" customWidth="1"/>
    <col min="18" max="18" width="9.54296875" style="1" customWidth="1"/>
    <col min="19" max="19" width="9.453125" style="1" customWidth="1"/>
    <col min="20" max="20" width="1.90625" style="1" customWidth="1"/>
    <col min="21" max="21" width="9.453125" style="1" customWidth="1"/>
    <col min="22" max="22" width="3.08984375" style="1" customWidth="1"/>
    <col min="23" max="23" width="10.453125" style="1" customWidth="1"/>
    <col min="24" max="26" width="12.6328125" style="1" customWidth="1"/>
    <col min="27" max="27" width="10.453125" style="1" customWidth="1"/>
    <col min="28" max="28" width="16.08984375" style="1" customWidth="1"/>
    <col min="29" max="30" width="12.6328125" style="1" customWidth="1"/>
    <col min="31" max="32" width="9.08984375" style="1" hidden="1" customWidth="1"/>
    <col min="33" max="33" width="11.90625" style="1" hidden="1" customWidth="1"/>
    <col min="34" max="34" width="15.6328125" style="1" hidden="1" customWidth="1"/>
    <col min="35" max="35" width="13.54296875" style="1" hidden="1" customWidth="1"/>
    <col min="36" max="36" width="6.90625" style="1" hidden="1" customWidth="1"/>
    <col min="37" max="37" width="12.6328125" style="1" hidden="1" customWidth="1"/>
    <col min="38" max="39" width="9.08984375" style="1" hidden="1" customWidth="1"/>
    <col min="40" max="40" width="13.90625" style="1" customWidth="1"/>
    <col min="41" max="41" width="9.08984375" style="1" customWidth="1"/>
    <col min="42" max="16384" width="9.08984375" style="1"/>
  </cols>
  <sheetData>
    <row r="1" spans="1:39" ht="30.75" customHeight="1" thickBot="1" x14ac:dyDescent="0.3">
      <c r="A1" s="446" t="str">
        <f>IF(AND(Eligibility!H1="",Eligibility!A1=""),"No Name Please Fill Out Eligibility Tab",IF(NOT(Eligibility!A1=""),Eligibility!A1,""))</f>
        <v>No Name Please Fill Out Eligibility Tab</v>
      </c>
      <c r="B1" s="447"/>
      <c r="C1" s="448"/>
      <c r="D1" s="448"/>
      <c r="H1" s="449" t="str">
        <f>IF(AND(Eligibility!H1="",Eligibility!A1=""),"No Case # Please Fill Out Eligibility Tab",IF(NOT(Eligibility!H1=""),Eligibility!H1,""))</f>
        <v>No Case # Please Fill Out Eligibility Tab</v>
      </c>
      <c r="I1" s="449"/>
      <c r="J1" s="449"/>
      <c r="K1" s="449"/>
      <c r="O1" s="446" t="str">
        <f>IF(Eligibility!O1="","Please Enter Agency Initials on Eligibility tab",Eligibility!O1)</f>
        <v>Please Enter Agency Initials on Eligibility tab</v>
      </c>
      <c r="P1" s="447"/>
      <c r="S1" s="433">
        <f ca="1">TODAY()</f>
        <v>46038</v>
      </c>
      <c r="T1" s="434"/>
      <c r="U1" s="434"/>
      <c r="AE1" s="6" t="s">
        <v>26</v>
      </c>
      <c r="AF1" s="1" t="str">
        <f>IF(AG1="Cat 6","ADAP and MCM ONLY",AG1)</f>
        <v>&gt;400%, MCM ONLY</v>
      </c>
      <c r="AG1" s="1" t="str">
        <f>IF(AND(AI1=FALSE,AI2=FALSE),"&gt;400%, MCM ONLY",IF(AND(OR(NOT(AI2="Cat 6"),NOT(AI2=FALSE)),AI1=FALSE),AI2,IF(AND(OR(NOT(AI1="Cat 6"),NOT(AI1=FALSE)),AI2=FALSE),AI1,IF(OR(AI1="Cat 6",AI2="Cat 6"),"ADAP and MCM ONLY"))))</f>
        <v>&gt;400%, MCM ONLY</v>
      </c>
      <c r="AH1" s="13" t="s">
        <v>4</v>
      </c>
      <c r="AI1" s="1" t="b">
        <f>IF(NOT(AL2=FALSE()),AL2,IF(NOT(AL3=FALSE()),AL3,IF(NOT(AL4=FALSE()),AL4,IF(NOT(AL5=FALSE()),AL5,IF(NOT(AL6=FALSE()),AL6,IF(NOT(AL7=FALSE()),AL7,AL8))))))</f>
        <v>0</v>
      </c>
      <c r="AK1" s="1" t="s">
        <v>0</v>
      </c>
      <c r="AL1" s="1" t="s">
        <v>2</v>
      </c>
      <c r="AM1" s="1" t="s">
        <v>3</v>
      </c>
    </row>
    <row r="2" spans="1:39" ht="13" thickTop="1" x14ac:dyDescent="0.25">
      <c r="A2" s="375" t="s">
        <v>16</v>
      </c>
      <c r="B2" s="375"/>
      <c r="C2" s="375"/>
      <c r="D2" s="375"/>
      <c r="H2" s="375" t="s">
        <v>17</v>
      </c>
      <c r="I2" s="375"/>
      <c r="J2" s="375"/>
      <c r="K2" s="375"/>
      <c r="O2" s="445" t="s">
        <v>224</v>
      </c>
      <c r="P2" s="444"/>
      <c r="S2" s="375" t="s">
        <v>18</v>
      </c>
      <c r="T2" s="435"/>
      <c r="U2" s="435"/>
      <c r="AH2" s="4" t="s">
        <v>5</v>
      </c>
      <c r="AI2" s="1" t="b">
        <f>IF(NOT(AL9=FALSE()),AL9,IF(R5&gt;8,AL10,FALSE()))</f>
        <v>0</v>
      </c>
      <c r="AK2" s="1">
        <v>1</v>
      </c>
      <c r="AL2" s="2" t="b">
        <f>IF(AND(R5=1,B24&lt;=D60),"Cat "&amp;B58,IF(AND(R5=1,B24&lt;=H60),"Cat "&amp;F58,IF(AND(R5=1,B24&lt;=K60),"Cat "&amp;I58,IF(AND(R5=1,B24&lt;=O60),"Cat "&amp;M58,IF(AND(R5=1,B24&lt;=R60),"Cat "&amp;P58,IF(AND(R5=1,B24&lt;=U60),"Cat "&amp;S58))))))</f>
        <v>0</v>
      </c>
      <c r="AM2" s="1" t="b">
        <f>IF(AND(R5=1,B46&lt;=D60),"Cat "&amp;B58,IF(AND(R5=1,B46&lt;=H60),"Cat "&amp;F58,IF(AND(R5=1,B46&lt;=K60),"Cat "&amp;I58,IF(AND(R5=1,B46&lt;=O60),"Cat "&amp;M58,IF(AND(R5=1,B46&lt;=R60),"Cat "&amp;P58,IF(AND(R5=1,B46&lt;=U60),"Cat "&amp;S58))))))</f>
        <v>0</v>
      </c>
    </row>
    <row r="3" spans="1:39" ht="5.25" customHeight="1" thickBot="1" x14ac:dyDescent="0.3">
      <c r="A3" s="252"/>
      <c r="B3" s="252"/>
      <c r="C3" s="252"/>
      <c r="D3" s="251"/>
      <c r="H3" s="252"/>
      <c r="I3" s="252"/>
      <c r="J3" s="252"/>
      <c r="K3" s="251"/>
      <c r="R3" s="10"/>
      <c r="S3" s="10"/>
      <c r="T3" s="10"/>
      <c r="AH3" s="4"/>
      <c r="AK3" s="1">
        <v>2</v>
      </c>
      <c r="AL3" s="10" t="b">
        <f>IF(AND(R5=2,B24&lt;=D61),"Cat "&amp;B58,IF(AND(R5=2,B24&lt;=H61),"Cat "&amp;F58,IF(AND(R5=2,B24&lt;=K61),"Cat "&amp;I58,IF(AND(R5=2,B24&lt;=O61),"Cat "&amp;M58,IF(AND(R5=2,B24&lt;=R61),"Cat "&amp;P58,IF(AND(R5=2,B24&lt;=U61),"Cat "&amp;S58))))))</f>
        <v>0</v>
      </c>
      <c r="AM3" s="1" t="b">
        <f>IF(AND(R5=2,B46&lt;=D61),"Cat "&amp;B58,IF(AND(R5=2,B46&lt;=H61),"Cat "&amp;F58,IF(AND(R5=2,B46&lt;=K61),"Cat "&amp;I58,IF(AND(R5=2,B46&lt;=O61),"Cat "&amp;M58,IF(AND(R5=2,B46&lt;=R61),"Cat "&amp;P58,IF(AND(R5=2,B46&lt;=U61),"Cat "&amp;S58))))))</f>
        <v>0</v>
      </c>
    </row>
    <row r="4" spans="1:39" ht="6.75" customHeight="1" thickTop="1" x14ac:dyDescent="0.25">
      <c r="A4" s="14"/>
      <c r="B4" s="63"/>
      <c r="C4" s="63"/>
      <c r="D4" s="15"/>
      <c r="E4" s="15"/>
      <c r="F4" s="15"/>
      <c r="G4" s="15"/>
      <c r="H4" s="15"/>
      <c r="I4" s="15"/>
      <c r="J4" s="15"/>
      <c r="K4" s="15"/>
      <c r="L4" s="15"/>
      <c r="M4" s="15"/>
      <c r="N4" s="15"/>
      <c r="O4" s="30"/>
      <c r="P4" s="30"/>
      <c r="Q4" s="30"/>
      <c r="R4" s="15"/>
      <c r="S4" s="15"/>
      <c r="T4" s="15"/>
      <c r="U4" s="35"/>
      <c r="AE4" s="6" t="s">
        <v>20</v>
      </c>
      <c r="AF4" s="1" t="str">
        <f>IF(AG4="Cat 6","ADAP and MCM ONLY",AG4)</f>
        <v>INCOME EXCEEDED</v>
      </c>
      <c r="AG4" s="1" t="str">
        <f>IF(AND(AI4=FALSE,AI5=FALSE),"INCOME EXCEEDED",IF(AI4=FALSE,AI5,AI4))</f>
        <v>INCOME EXCEEDED</v>
      </c>
      <c r="AH4" s="4" t="s">
        <v>4</v>
      </c>
      <c r="AI4" s="1" t="b">
        <f>IF(NOT(AM2=FALSE()),AM2,IF(NOT(AM3=FALSE()),AM3,IF(NOT(AM4=FALSE()),AM4,IF(NOT(AM5=FALSE()),AM5,IF(NOT(AM6=FALSE()),AM6,IF(NOT(AM7=FALSE()),AM7,AM8))))))</f>
        <v>0</v>
      </c>
      <c r="AK4" s="1">
        <v>3</v>
      </c>
      <c r="AL4" s="2" t="b">
        <f>IF(AND(R5=3,B24&lt;=D62),"Cat "&amp;B58,IF(AND(R5=3,B24&lt;=H62),"Cat "&amp;F58,IF(AND(R5=3,B24&lt;=K62),"Cat "&amp;I58,IF(AND(R5=3,B24&lt;=O62),"Cat "&amp;M58,IF(AND(R5=3,B24&lt;=R62),"Cat "&amp;P58,IF(AND(R5=3,B24&lt;=U62),"Cat "&amp;S58))))))</f>
        <v>0</v>
      </c>
      <c r="AM4" s="3" t="b">
        <f>IF(AND(R5=3,B46&lt;=D62),"Cat "&amp;B58,IF(AND(R5=3,B46&lt;=H62),"Cat "&amp;F58,IF(AND(R5=3,B46&lt;=K62),"Cat "&amp;I58,IF(AND(R5=3,B46&lt;=O62),"Cat "&amp;M58,IF(AND(R5=3,B46&lt;=R62),"Cat "&amp;P58,IF(AND(R5=3,B46&lt;=U62),"Cat "&amp;S58))))))</f>
        <v>0</v>
      </c>
    </row>
    <row r="5" spans="1:39" ht="25.5" customHeight="1" x14ac:dyDescent="0.25">
      <c r="A5" s="36" t="s">
        <v>233</v>
      </c>
      <c r="B5" s="64"/>
      <c r="C5" s="64"/>
      <c r="D5" s="11"/>
      <c r="E5" s="17"/>
      <c r="F5" s="17"/>
      <c r="G5" s="17"/>
      <c r="H5" s="17"/>
      <c r="I5" s="17"/>
      <c r="J5" s="17"/>
      <c r="K5" s="17"/>
      <c r="L5" s="17"/>
      <c r="M5" s="17"/>
      <c r="N5" s="17"/>
      <c r="O5" s="436" t="s">
        <v>21</v>
      </c>
      <c r="P5" s="437"/>
      <c r="Q5" s="427"/>
      <c r="R5" s="112"/>
      <c r="S5" s="140"/>
      <c r="T5" s="140"/>
      <c r="U5" s="141"/>
      <c r="AH5" s="4" t="s">
        <v>5</v>
      </c>
      <c r="AI5" s="1" t="b">
        <f>IF(NOT(AM9=FALSE()),AM9,IF(R5&gt;8,AM10,FALSE()))</f>
        <v>0</v>
      </c>
      <c r="AK5" s="1">
        <v>4</v>
      </c>
      <c r="AL5" s="2" t="b">
        <f>IF(AND(R5=4,B24&lt;=D63),"Cat "&amp;B58,IF(AND(R5=4,B24&lt;=H63),"Cat "&amp;F58,IF(AND(R5=4,B24&lt;=K63),"Cat "&amp;I58,IF(AND(R5=4,B24&lt;=O63),"Cat "&amp;M58,IF(AND(R5=4,B24&lt;=R63),"Cat "&amp;P58,IF(AND(R5=4,B24&lt;=U63),"Cat "&amp;S58))))))</f>
        <v>0</v>
      </c>
      <c r="AM5" s="2" t="b">
        <f>IF(AND(R5=4,B46&lt;=D63),"Cat "&amp;B58,IF(AND(R5=4,B46&lt;=H63),"Cat "&amp;F58,IF(AND(R5=4,B46&lt;=K63),"Cat "&amp;I58,IF(AND(R5=4,B46&lt;=O63),"Cat "&amp;M58,IF(AND(R5=4,B46&lt;=R63),"Cat "&amp;P58,IF(AND(R5=4,B46&lt;=U63),"Cat "&amp;S58))))))</f>
        <v>0</v>
      </c>
    </row>
    <row r="6" spans="1:39" ht="5.25" customHeight="1" thickBot="1" x14ac:dyDescent="0.3">
      <c r="A6" s="31"/>
      <c r="B6" s="65"/>
      <c r="C6" s="65"/>
      <c r="D6" s="11"/>
      <c r="E6" s="17"/>
      <c r="F6" s="17"/>
      <c r="G6" s="17"/>
      <c r="H6" s="17"/>
      <c r="I6" s="17"/>
      <c r="J6" s="17"/>
      <c r="K6" s="17"/>
      <c r="L6" s="17"/>
      <c r="M6" s="17"/>
      <c r="N6" s="17"/>
      <c r="O6" s="17"/>
      <c r="P6" s="17"/>
      <c r="Q6" s="17"/>
      <c r="R6" s="17"/>
      <c r="S6" s="12"/>
      <c r="T6" s="12"/>
      <c r="U6" s="71"/>
      <c r="AE6" s="6" t="s">
        <v>33</v>
      </c>
      <c r="AF6" s="6"/>
      <c r="AG6" s="6" t="str">
        <f>IF(OR(AF1="ADAP and MCM ONLY",AF1="INCOME EXCEEDED"),"N/A",IF(OR(AF1="Cat 1",AF1="Cat 2",AF1="Cat 3",AF1="Cat 4",AF1="Cat 5"),AF1,"N/A"))</f>
        <v>N/A</v>
      </c>
      <c r="AK6" s="1">
        <v>5</v>
      </c>
      <c r="AL6" s="2" t="b">
        <f>IF(AND(R5=5,B24&lt;=D64),"Cat "&amp;B58,IF(AND(R5=5,B24&lt;=H64),"Cat "&amp;F58,IF(AND(R5=5,B24&lt;=K64),"Cat "&amp;I58,IF(AND(R5=5,B24&lt;=O64),"Cat "&amp;M58,IF(AND(R5=5,B24&lt;=R64),"Cat "&amp;P58,IF(AND(R5=5,B24&lt;=U64),"Cat "&amp;S58))))))</f>
        <v>0</v>
      </c>
      <c r="AM6" s="2" t="b">
        <f>IF(AND(R5=5,B46&lt;=D64),"Cat "&amp;B58,IF(AND(R5=5,B46&lt;=H64),"Cat "&amp;F58,IF(AND(R5=5,B46&lt;=K64),"Cat "&amp;I58,IF(AND(R5=5,B46&lt;=O64),"Cat "&amp;M58,IF(AND(R5=5,B46&lt;=R64),"Cat "&amp;P58,IF(AND(R5=5,B46&lt;=U64),"Cat "&amp;S58))))))</f>
        <v>0</v>
      </c>
    </row>
    <row r="7" spans="1:39" ht="16.5" customHeight="1" thickBot="1" x14ac:dyDescent="0.3">
      <c r="A7" s="32" t="s">
        <v>19</v>
      </c>
      <c r="B7" s="377" t="s">
        <v>20</v>
      </c>
      <c r="C7" s="378"/>
      <c r="D7" s="378"/>
      <c r="E7" s="378"/>
      <c r="F7" s="380" t="s">
        <v>206</v>
      </c>
      <c r="G7" s="378"/>
      <c r="H7" s="378"/>
      <c r="I7" s="380" t="s">
        <v>207</v>
      </c>
      <c r="J7" s="378"/>
      <c r="K7" s="378"/>
      <c r="L7" s="378"/>
      <c r="M7" s="380" t="s">
        <v>208</v>
      </c>
      <c r="N7" s="378"/>
      <c r="O7" s="378"/>
      <c r="P7" s="380" t="s">
        <v>209</v>
      </c>
      <c r="Q7" s="378"/>
      <c r="R7" s="378"/>
      <c r="S7" s="428" t="s">
        <v>210</v>
      </c>
      <c r="T7" s="379"/>
      <c r="U7" s="429"/>
      <c r="AH7" s="1" t="s">
        <v>6</v>
      </c>
      <c r="AI7" s="2" t="b">
        <f>IF(B24&lt;B22,"ERROR",IF(AI4=FALSE(),AI5,AI4))</f>
        <v>0</v>
      </c>
      <c r="AK7" s="1">
        <v>6</v>
      </c>
      <c r="AL7" s="2" t="b">
        <f>IF(AND(R5=6,B24&lt;=D65),"Cat "&amp;B58,IF(AND(R5=6,B24&lt;=H65),"Cat "&amp;F58,IF(AND(R5=6,B24&lt;=K65),"Cat "&amp;I58,IF(AND(R5=6,B24&lt;=O65),"Cat "&amp;M58,IF(AND(R5=6,B24&lt;=R65),"Cat "&amp;P58,IF(AND(R5=6,B24&lt;=U65),"Cat "&amp;S58))))))</f>
        <v>0</v>
      </c>
      <c r="AM7" s="2" t="b">
        <f>IF(AND(R5=6,B46&lt;=D65),"Cat "&amp;B58,IF(AND(R5=6,B46&lt;=H65),"Cat "&amp;F58,IF(AND(R5=6,B46&lt;=K65),"Cat "&amp;I58,IF(AND(R5=6,B46&lt;=O65),"Cat "&amp;M58,IF(AND(R5=6,B46&lt;=R65),"Cat "&amp;P58,IF(AND(R5=6,B46&lt;=U65),"Cat "&amp;S58))))))</f>
        <v>0</v>
      </c>
    </row>
    <row r="8" spans="1:39" ht="15.75" customHeight="1" x14ac:dyDescent="0.25">
      <c r="A8" s="39"/>
      <c r="B8" s="379"/>
      <c r="C8" s="379"/>
      <c r="D8" s="379"/>
      <c r="E8" s="379"/>
      <c r="F8" s="379"/>
      <c r="G8" s="379"/>
      <c r="H8" s="379"/>
      <c r="I8" s="379"/>
      <c r="J8" s="379"/>
      <c r="K8" s="379"/>
      <c r="L8" s="379"/>
      <c r="M8" s="379"/>
      <c r="N8" s="379"/>
      <c r="O8" s="379"/>
      <c r="P8" s="379"/>
      <c r="Q8" s="379"/>
      <c r="R8" s="379"/>
      <c r="S8" s="430" t="s">
        <v>42</v>
      </c>
      <c r="T8" s="431"/>
      <c r="U8" s="432"/>
      <c r="AE8" s="6" t="s">
        <v>34</v>
      </c>
      <c r="AF8" s="6"/>
      <c r="AG8" s="1" t="str">
        <f>IF(AG6="N/A","N/A",IF(AI7="Cat 1",B22*B54,IF(AI7="Cat 2",B22*F54,IF(AI7="Cat 3",B22*I54,IF(AI7="Cat 4",B22*M54,IF(AI7="Cat 5",B22*P54,IF(AG6="N/A","N/A","N/A")))))))</f>
        <v>N/A</v>
      </c>
      <c r="AH8" s="6" t="s">
        <v>12</v>
      </c>
      <c r="AI8" s="8">
        <f>IF(B52="Cat 1",B54,IF(B52="Cat 2",F54,IF(B52="Cat 3",I54,IF(B52="Cat 4",M54,IF(B52="Cat 5",P54,IF(B52="Cat 6",S54,0))))))</f>
        <v>0</v>
      </c>
      <c r="AK8" s="1">
        <v>7</v>
      </c>
      <c r="AL8" s="2" t="b">
        <f>IF(AND(R5=7,B24&lt;=D66),"Cat "&amp;B58,IF(AND(R5=7,B24&lt;=H66),"Cat "&amp;F58,IF(AND(R5=7,B24&lt;=K66),"Cat "&amp;I58,IF(AND(R5=7,B24&lt;=O66),"Cat "&amp;M58,IF(AND(R5=7,B24&lt;=R66),"Cat "&amp;P58,IF(AND(R5=7,B24&lt;=U66),"Cat "&amp;S58))))))</f>
        <v>0</v>
      </c>
      <c r="AM8" s="2" t="b">
        <f>IF(AND(R5=7,B46&lt;=D66),"Cat "&amp;B58,IF(AND(R5=7,B46&lt;=H66),"Cat "&amp;F58,IF(AND(R5=7,B46&lt;=K66),"Cat "&amp;I58,IF(AND(R5=7,B46&lt;=O66),"Cat "&amp;M58,IF(AND(R5=7,B46&lt;=R66),"Cat "&amp;P58,IF(AND(R5=7,B46&lt;=U66),"Cat "&amp;S58))))))</f>
        <v>0</v>
      </c>
    </row>
    <row r="9" spans="1:39" x14ac:dyDescent="0.25">
      <c r="A9" s="39" t="s">
        <v>27</v>
      </c>
      <c r="B9" s="363"/>
      <c r="C9" s="364"/>
      <c r="D9" s="364"/>
      <c r="E9" s="364"/>
      <c r="F9" s="364"/>
      <c r="G9" s="364"/>
      <c r="H9" s="364"/>
      <c r="I9" s="364"/>
      <c r="J9" s="364"/>
      <c r="K9" s="364"/>
      <c r="L9" s="364"/>
      <c r="M9" s="364"/>
      <c r="N9" s="364"/>
      <c r="O9" s="364"/>
      <c r="P9" s="364"/>
      <c r="Q9" s="364"/>
      <c r="R9" s="364"/>
      <c r="S9" s="364"/>
      <c r="T9" s="364"/>
      <c r="U9" s="425"/>
      <c r="AK9" s="1">
        <v>8</v>
      </c>
      <c r="AL9" s="2" t="b">
        <f>IF(AND(R5=8,B24&lt;=D67),"Cat "&amp;B58,IF(AND(R5=8,B24&lt;=H67),"Cat "&amp;F58,IF(AND(R5=8,B24&lt;=K67),"Cat "&amp;I58,IF(AND(R5=8,B24&lt;=O67),"Cat "&amp;M58,IF(AND(R5=8,B24&lt;=R67),"Cat "&amp;P58,IF(AND(R5=8,B24&lt;=U67),"Cat "&amp;S58))))))</f>
        <v>0</v>
      </c>
      <c r="AM9" s="2" t="b">
        <f>IF(AND(R5=8,B46&lt;=D67),"Cat "&amp;B58,IF(AND(R5=8,B46&lt;=H67),"Cat "&amp;F58,IF(AND(R5=8,B46&lt;=K67),"Cat "&amp;I58,IF(AND(R5=8,B46&lt;=O67),"Cat "&amp;M58,IF(AND(R5=8,B46&lt;=R67),"Cat "&amp;P58,IF(AND(R5=8,B46&lt;=U67),"Cat "&amp;S58))))))</f>
        <v>0</v>
      </c>
    </row>
    <row r="10" spans="1:39" ht="40.5" customHeight="1" x14ac:dyDescent="0.3">
      <c r="A10" s="227" t="s">
        <v>203</v>
      </c>
      <c r="B10" s="381"/>
      <c r="C10" s="368"/>
      <c r="D10" s="368"/>
      <c r="E10" s="369"/>
      <c r="F10" s="367"/>
      <c r="G10" s="368"/>
      <c r="H10" s="369"/>
      <c r="I10" s="367"/>
      <c r="J10" s="368"/>
      <c r="K10" s="368"/>
      <c r="L10" s="369"/>
      <c r="M10" s="367"/>
      <c r="N10" s="368"/>
      <c r="O10" s="369"/>
      <c r="P10" s="367"/>
      <c r="Q10" s="368"/>
      <c r="R10" s="369"/>
      <c r="S10" s="367"/>
      <c r="T10" s="368"/>
      <c r="U10" s="370"/>
      <c r="AE10" s="6"/>
      <c r="AF10" s="6"/>
      <c r="AG10" s="42"/>
      <c r="AK10" s="5" t="s">
        <v>1</v>
      </c>
      <c r="AL10" s="1" t="b">
        <f>IF(AND(R5&gt;8,B24&lt;=D69),"Cat "&amp;B58,IF(AND(R5&gt;8,B24&lt;=H69),"Cat "&amp;F58,IF(AND(R5&gt;8,B24&lt;=K69),"Cat "&amp;I58,IF(AND(R5&gt;8,B24&lt;=O69),"Cat "&amp;M58,IF(AND(R5&gt;8,B24&lt;=R69),"Cat "&amp;P58,IF(AND(R5&gt;8,B24&lt;=U69),"Cat "&amp;S58,IF(AND(R5&gt;8,B24&lt;=U69),"Cat "&amp;S58)))))))</f>
        <v>0</v>
      </c>
      <c r="AM10" s="2" t="b">
        <f>IF(AND(R5&gt;8,B46&lt;=D69),"Cat "&amp;B58,IF(AND(R5&gt;8,B46&lt;=H69),"Cat "&amp;F58,IF(AND(R5&gt;8,B46&lt;=K69),"Cat "&amp;I58,IF(AND(R5&gt;8,B46&lt;=O69),"Cat "&amp;M58,IF(AND(R5&gt;8,B46&lt;=R69),"Cat "&amp;P58,IF(AND(R5&gt;8,B46&lt;=U69),"Cat "&amp;S58))))))</f>
        <v>0</v>
      </c>
    </row>
    <row r="11" spans="1:39" ht="37.5" x14ac:dyDescent="0.25">
      <c r="A11" s="55" t="s">
        <v>15</v>
      </c>
      <c r="B11" s="363"/>
      <c r="C11" s="364"/>
      <c r="D11" s="364"/>
      <c r="E11" s="364"/>
      <c r="F11" s="364"/>
      <c r="G11" s="364"/>
      <c r="H11" s="364"/>
      <c r="I11" s="364"/>
      <c r="J11" s="364"/>
      <c r="K11" s="364"/>
      <c r="L11" s="364"/>
      <c r="M11" s="364"/>
      <c r="N11" s="364"/>
      <c r="O11" s="364"/>
      <c r="P11" s="364"/>
      <c r="Q11" s="364"/>
      <c r="R11" s="364"/>
      <c r="S11" s="364"/>
      <c r="T11" s="364"/>
      <c r="U11" s="425"/>
      <c r="AE11" s="41"/>
    </row>
    <row r="12" spans="1:39" x14ac:dyDescent="0.25">
      <c r="A12" s="39" t="s">
        <v>13</v>
      </c>
      <c r="B12" s="363"/>
      <c r="C12" s="364"/>
      <c r="D12" s="364"/>
      <c r="E12" s="364"/>
      <c r="F12" s="364"/>
      <c r="G12" s="364"/>
      <c r="H12" s="364"/>
      <c r="I12" s="364"/>
      <c r="J12" s="364"/>
      <c r="K12" s="364"/>
      <c r="L12" s="364"/>
      <c r="M12" s="364"/>
      <c r="N12" s="364"/>
      <c r="O12" s="364"/>
      <c r="P12" s="364"/>
      <c r="Q12" s="364"/>
      <c r="R12" s="364"/>
      <c r="S12" s="364"/>
      <c r="T12" s="364"/>
      <c r="U12" s="425"/>
    </row>
    <row r="13" spans="1:39" ht="25.5" customHeight="1" x14ac:dyDescent="0.25">
      <c r="A13" s="39" t="s">
        <v>28</v>
      </c>
      <c r="B13" s="363"/>
      <c r="C13" s="364"/>
      <c r="D13" s="364"/>
      <c r="E13" s="364"/>
      <c r="F13" s="364"/>
      <c r="G13" s="364"/>
      <c r="H13" s="364"/>
      <c r="I13" s="364"/>
      <c r="J13" s="364"/>
      <c r="K13" s="364"/>
      <c r="L13" s="364"/>
      <c r="M13" s="364"/>
      <c r="N13" s="364"/>
      <c r="O13" s="364"/>
      <c r="P13" s="364"/>
      <c r="Q13" s="364"/>
      <c r="R13" s="364"/>
      <c r="S13" s="364"/>
      <c r="T13" s="364"/>
      <c r="U13" s="425"/>
      <c r="AC13" s="6"/>
    </row>
    <row r="14" spans="1:39" ht="25" x14ac:dyDescent="0.25">
      <c r="A14" s="40" t="s">
        <v>29</v>
      </c>
      <c r="B14" s="363"/>
      <c r="C14" s="364"/>
      <c r="D14" s="364"/>
      <c r="E14" s="364"/>
      <c r="F14" s="364"/>
      <c r="G14" s="364"/>
      <c r="H14" s="364"/>
      <c r="I14" s="364"/>
      <c r="J14" s="364"/>
      <c r="K14" s="364"/>
      <c r="L14" s="364"/>
      <c r="M14" s="364"/>
      <c r="N14" s="364"/>
      <c r="O14" s="364"/>
      <c r="P14" s="364"/>
      <c r="Q14" s="364"/>
      <c r="R14" s="364"/>
      <c r="S14" s="364"/>
      <c r="T14" s="364"/>
      <c r="U14" s="425"/>
      <c r="AC14" s="6"/>
    </row>
    <row r="15" spans="1:39" x14ac:dyDescent="0.25">
      <c r="A15" s="39" t="s">
        <v>30</v>
      </c>
      <c r="B15" s="363"/>
      <c r="C15" s="364"/>
      <c r="D15" s="364"/>
      <c r="E15" s="364"/>
      <c r="F15" s="364"/>
      <c r="G15" s="364"/>
      <c r="H15" s="364"/>
      <c r="I15" s="364"/>
      <c r="J15" s="364"/>
      <c r="K15" s="364"/>
      <c r="L15" s="364"/>
      <c r="M15" s="364"/>
      <c r="N15" s="364"/>
      <c r="O15" s="364"/>
      <c r="P15" s="364"/>
      <c r="Q15" s="364"/>
      <c r="R15" s="364"/>
      <c r="S15" s="364"/>
      <c r="T15" s="364"/>
      <c r="U15" s="425"/>
    </row>
    <row r="16" spans="1:39" ht="31.5" customHeight="1" x14ac:dyDescent="0.25">
      <c r="A16" s="40" t="s">
        <v>31</v>
      </c>
      <c r="B16" s="363"/>
      <c r="C16" s="364"/>
      <c r="D16" s="364"/>
      <c r="E16" s="364"/>
      <c r="F16" s="364"/>
      <c r="G16" s="364"/>
      <c r="H16" s="364"/>
      <c r="I16" s="364"/>
      <c r="J16" s="364"/>
      <c r="K16" s="364"/>
      <c r="L16" s="364"/>
      <c r="M16" s="364"/>
      <c r="N16" s="364"/>
      <c r="O16" s="364"/>
      <c r="P16" s="364"/>
      <c r="Q16" s="364"/>
      <c r="R16" s="364"/>
      <c r="S16" s="364"/>
      <c r="T16" s="364"/>
      <c r="U16" s="425"/>
    </row>
    <row r="17" spans="1:21" ht="15" customHeight="1" x14ac:dyDescent="0.25">
      <c r="A17" s="33" t="s">
        <v>32</v>
      </c>
      <c r="B17" s="363"/>
      <c r="C17" s="364"/>
      <c r="D17" s="364"/>
      <c r="E17" s="364"/>
      <c r="F17" s="364"/>
      <c r="G17" s="364"/>
      <c r="H17" s="364"/>
      <c r="I17" s="364"/>
      <c r="J17" s="364"/>
      <c r="K17" s="364"/>
      <c r="L17" s="364"/>
      <c r="M17" s="364"/>
      <c r="N17" s="364"/>
      <c r="O17" s="364"/>
      <c r="P17" s="364"/>
      <c r="Q17" s="364"/>
      <c r="R17" s="364"/>
      <c r="S17" s="364"/>
      <c r="T17" s="364"/>
      <c r="U17" s="425"/>
    </row>
    <row r="18" spans="1:21" x14ac:dyDescent="0.25">
      <c r="A18" s="39" t="s">
        <v>14</v>
      </c>
      <c r="B18" s="363"/>
      <c r="C18" s="364"/>
      <c r="D18" s="364"/>
      <c r="E18" s="364"/>
      <c r="F18" s="364"/>
      <c r="G18" s="364"/>
      <c r="H18" s="364"/>
      <c r="I18" s="364"/>
      <c r="J18" s="364"/>
      <c r="K18" s="364"/>
      <c r="L18" s="364"/>
      <c r="M18" s="364"/>
      <c r="N18" s="364"/>
      <c r="O18" s="364"/>
      <c r="P18" s="364"/>
      <c r="Q18" s="364"/>
      <c r="R18" s="364"/>
      <c r="S18" s="364"/>
      <c r="T18" s="364"/>
      <c r="U18" s="425"/>
    </row>
    <row r="19" spans="1:21" x14ac:dyDescent="0.25">
      <c r="A19" s="60" t="s">
        <v>41</v>
      </c>
      <c r="B19" s="363"/>
      <c r="C19" s="364"/>
      <c r="D19" s="364"/>
      <c r="E19" s="364"/>
      <c r="F19" s="364"/>
      <c r="G19" s="364"/>
      <c r="H19" s="364"/>
      <c r="I19" s="364"/>
      <c r="J19" s="364"/>
      <c r="K19" s="364"/>
      <c r="L19" s="364"/>
      <c r="M19" s="364"/>
      <c r="N19" s="364"/>
      <c r="O19" s="364"/>
      <c r="P19" s="364"/>
      <c r="Q19" s="364"/>
      <c r="R19" s="364"/>
      <c r="S19" s="364"/>
      <c r="T19" s="364"/>
      <c r="U19" s="425"/>
    </row>
    <row r="20" spans="1:21" ht="15" customHeight="1" thickBot="1" x14ac:dyDescent="0.3">
      <c r="A20" s="293"/>
      <c r="B20" s="390"/>
      <c r="C20" s="376"/>
      <c r="D20" s="376"/>
      <c r="E20" s="376"/>
      <c r="F20" s="376"/>
      <c r="G20" s="376"/>
      <c r="H20" s="376"/>
      <c r="I20" s="376"/>
      <c r="J20" s="376"/>
      <c r="K20" s="376"/>
      <c r="L20" s="376"/>
      <c r="M20" s="376"/>
      <c r="N20" s="376"/>
      <c r="O20" s="376"/>
      <c r="P20" s="376"/>
      <c r="Q20" s="376"/>
      <c r="R20" s="376"/>
      <c r="S20" s="376"/>
      <c r="T20" s="376"/>
      <c r="U20" s="439"/>
    </row>
    <row r="21" spans="1:21" ht="12.75" customHeight="1" thickBot="1" x14ac:dyDescent="0.3">
      <c r="A21" s="34"/>
      <c r="B21" s="17"/>
      <c r="C21" s="17"/>
      <c r="D21" s="18"/>
      <c r="E21" s="18"/>
      <c r="F21" s="18"/>
      <c r="G21" s="18"/>
      <c r="H21" s="18"/>
      <c r="I21" s="18"/>
      <c r="J21" s="18"/>
      <c r="K21" s="18"/>
      <c r="L21" s="18"/>
      <c r="M21" s="18"/>
      <c r="N21" s="18"/>
      <c r="O21" s="18"/>
      <c r="P21" s="228"/>
      <c r="Q21" s="228"/>
      <c r="R21" s="228"/>
      <c r="S21" s="18"/>
      <c r="T21" s="18"/>
      <c r="U21" s="19"/>
    </row>
    <row r="22" spans="1:21" ht="18.75" customHeight="1" thickBot="1" x14ac:dyDescent="0.3">
      <c r="A22" s="61" t="s">
        <v>35</v>
      </c>
      <c r="B22" s="391">
        <f>SUM(B9:E19)</f>
        <v>0</v>
      </c>
      <c r="C22" s="392"/>
      <c r="D22" s="392"/>
      <c r="E22" s="393"/>
      <c r="F22" s="391">
        <f>SUM(F9:H19)</f>
        <v>0</v>
      </c>
      <c r="G22" s="392"/>
      <c r="H22" s="393"/>
      <c r="I22" s="391">
        <f>SUM(I9:L19)</f>
        <v>0</v>
      </c>
      <c r="J22" s="392"/>
      <c r="K22" s="392"/>
      <c r="L22" s="393"/>
      <c r="M22" s="391">
        <f>SUM(M9:O19)</f>
        <v>0</v>
      </c>
      <c r="N22" s="392"/>
      <c r="O22" s="392"/>
      <c r="P22" s="391">
        <f>SUM(P9:R19)</f>
        <v>0</v>
      </c>
      <c r="Q22" s="392"/>
      <c r="R22" s="393"/>
      <c r="S22" s="440">
        <f>SUM(S9:U19)</f>
        <v>0</v>
      </c>
      <c r="T22" s="392"/>
      <c r="U22" s="441"/>
    </row>
    <row r="23" spans="1:21" ht="21" customHeight="1" thickBot="1" x14ac:dyDescent="0.3">
      <c r="A23" s="16"/>
      <c r="B23" s="17"/>
      <c r="C23" s="17"/>
      <c r="D23" s="18"/>
      <c r="E23" s="18"/>
      <c r="F23" s="18"/>
      <c r="G23" s="18"/>
      <c r="H23" s="18"/>
      <c r="I23" s="18"/>
      <c r="J23" s="18"/>
      <c r="K23" s="18"/>
      <c r="L23" s="18"/>
      <c r="M23" s="18"/>
      <c r="N23" s="18"/>
      <c r="O23" s="18"/>
      <c r="P23" s="18"/>
      <c r="Q23" s="18"/>
      <c r="R23" s="18"/>
      <c r="S23" s="72"/>
      <c r="T23" s="72"/>
      <c r="U23" s="73"/>
    </row>
    <row r="24" spans="1:21" ht="39" customHeight="1" thickBot="1" x14ac:dyDescent="0.3">
      <c r="A24" s="57" t="s">
        <v>56</v>
      </c>
      <c r="B24" s="394" t="str">
        <f>IF(R5&gt;0,SUM(B22:U22),"N/A")</f>
        <v>N/A</v>
      </c>
      <c r="C24" s="395"/>
      <c r="D24" s="395"/>
      <c r="E24" s="396"/>
      <c r="F24" s="68"/>
      <c r="I24" s="418" t="s">
        <v>55</v>
      </c>
      <c r="J24" s="419"/>
      <c r="K24" s="419"/>
      <c r="L24" s="56" t="str">
        <f>IF(AF1="Cat 1","= ",IF(AF1="Cat 2","= ",IF(AF1="Cat 3","= ",IF(AF1="Cat 4","= ",IF(AF1="Cat 5","= ","")))))</f>
        <v/>
      </c>
      <c r="M24" s="424" t="str">
        <f>IF(R5&lt;1,"Please enter Household Size",IF(AF1="Cat 1",B56,IF(AF1="Cat 2",F56,IF(AF1="Cat 3",I56,IF(AF1="Cat 4",M56,IF(AF1="Cat 5",P56,AF1))))))</f>
        <v>Please enter Household Size</v>
      </c>
      <c r="N24" s="395"/>
      <c r="O24" s="395"/>
      <c r="P24" s="396"/>
      <c r="Q24" s="68"/>
      <c r="R24" s="68"/>
      <c r="S24" s="68"/>
      <c r="T24" s="68"/>
      <c r="U24" s="20"/>
    </row>
    <row r="25" spans="1:21" ht="13" thickBot="1" x14ac:dyDescent="0.3">
      <c r="A25" s="21"/>
      <c r="B25" s="9"/>
      <c r="C25" s="9"/>
      <c r="D25" s="9"/>
      <c r="E25" s="9"/>
      <c r="F25" s="9"/>
      <c r="G25" s="9"/>
      <c r="H25" s="9"/>
      <c r="I25" s="9"/>
      <c r="J25" s="9"/>
      <c r="K25" s="9"/>
      <c r="L25" s="9"/>
      <c r="M25" s="9"/>
      <c r="N25" s="9"/>
      <c r="O25" s="9"/>
      <c r="P25" s="9"/>
      <c r="Q25" s="9"/>
      <c r="R25" s="9"/>
      <c r="S25" s="9"/>
      <c r="T25" s="9"/>
      <c r="U25" s="22"/>
    </row>
    <row r="26" spans="1:21" ht="13" thickTop="1" x14ac:dyDescent="0.25">
      <c r="A26" s="58" t="s">
        <v>43</v>
      </c>
      <c r="B26" s="17"/>
      <c r="C26" s="17"/>
      <c r="D26" s="17"/>
      <c r="E26" s="17"/>
      <c r="F26" s="17"/>
      <c r="G26" s="17"/>
      <c r="H26" s="17"/>
      <c r="I26" s="17"/>
      <c r="J26" s="17"/>
      <c r="K26" s="17"/>
      <c r="L26" s="17"/>
      <c r="M26" s="17"/>
      <c r="N26" s="17"/>
      <c r="O26" s="17"/>
      <c r="P26" s="17"/>
      <c r="Q26" s="17"/>
      <c r="R26" s="17"/>
      <c r="S26" s="17"/>
      <c r="T26" s="17"/>
    </row>
    <row r="27" spans="1:21" x14ac:dyDescent="0.25">
      <c r="A27" s="58" t="s">
        <v>54</v>
      </c>
      <c r="B27" s="58"/>
      <c r="C27" s="58"/>
      <c r="D27" s="17"/>
      <c r="E27" s="17"/>
      <c r="F27" s="17"/>
      <c r="G27" s="17"/>
      <c r="H27" s="17"/>
      <c r="I27" s="17"/>
      <c r="J27" s="17"/>
      <c r="K27" s="17"/>
      <c r="L27" s="17"/>
      <c r="M27" s="17"/>
      <c r="N27" s="17"/>
      <c r="O27" s="17"/>
      <c r="P27" s="17"/>
      <c r="Q27" s="17"/>
      <c r="R27" s="17"/>
      <c r="S27" s="17"/>
      <c r="T27" s="17"/>
    </row>
    <row r="28" spans="1:21" x14ac:dyDescent="0.25">
      <c r="A28" s="58" t="s">
        <v>146</v>
      </c>
      <c r="B28" s="58"/>
      <c r="C28" s="58"/>
      <c r="D28" s="17"/>
      <c r="E28" s="17"/>
      <c r="F28" s="17"/>
      <c r="G28" s="17"/>
      <c r="H28" s="17"/>
      <c r="I28" s="17"/>
      <c r="J28" s="17"/>
      <c r="K28" s="17"/>
      <c r="L28" s="17"/>
      <c r="M28" s="17"/>
      <c r="N28" s="17"/>
      <c r="O28" s="17"/>
      <c r="P28" s="17"/>
      <c r="Q28" s="17"/>
      <c r="R28" s="17"/>
      <c r="S28" s="17"/>
      <c r="T28" s="17"/>
    </row>
    <row r="29" spans="1:21" s="59" customFormat="1" x14ac:dyDescent="0.25">
      <c r="A29" s="59" t="s">
        <v>149</v>
      </c>
      <c r="B29" s="58"/>
      <c r="C29" s="58"/>
      <c r="D29" s="17"/>
      <c r="E29" s="17"/>
      <c r="F29" s="17"/>
      <c r="G29" s="17"/>
      <c r="H29" s="17"/>
      <c r="I29" s="17"/>
      <c r="J29" s="17"/>
      <c r="K29" s="17"/>
      <c r="L29" s="17"/>
      <c r="M29" s="17"/>
      <c r="N29" s="17"/>
      <c r="O29" s="17"/>
      <c r="P29" s="17"/>
      <c r="Q29" s="17"/>
      <c r="R29" s="17"/>
      <c r="S29" s="17"/>
      <c r="T29" s="17"/>
      <c r="U29" s="1"/>
    </row>
    <row r="30" spans="1:21" ht="12.75" hidden="1" customHeight="1" x14ac:dyDescent="0.25">
      <c r="A30" s="59" t="s">
        <v>147</v>
      </c>
      <c r="B30" s="59"/>
      <c r="C30" s="59"/>
      <c r="D30" s="17"/>
      <c r="E30" s="17"/>
      <c r="F30" s="17"/>
      <c r="G30" s="17"/>
      <c r="H30" s="17"/>
      <c r="I30" s="17"/>
      <c r="J30" s="17"/>
      <c r="K30" s="17"/>
      <c r="L30" s="17"/>
      <c r="M30" s="17"/>
      <c r="N30" s="17"/>
      <c r="O30" s="17"/>
      <c r="P30" s="17"/>
      <c r="Q30" s="17"/>
      <c r="R30" s="17"/>
      <c r="S30" s="17"/>
      <c r="T30" s="17"/>
    </row>
    <row r="31" spans="1:21" ht="12.75" hidden="1" customHeight="1" x14ac:dyDescent="0.25">
      <c r="A31" s="58" t="s">
        <v>117</v>
      </c>
      <c r="B31" s="59"/>
      <c r="C31" s="59"/>
      <c r="D31" s="58"/>
      <c r="E31" s="58"/>
      <c r="F31" s="58"/>
      <c r="G31" s="58"/>
      <c r="H31" s="58"/>
      <c r="I31" s="58"/>
      <c r="J31" s="58"/>
      <c r="K31" s="58"/>
      <c r="L31" s="58"/>
      <c r="M31" s="58"/>
      <c r="N31" s="58"/>
      <c r="O31" s="58"/>
      <c r="P31" s="58"/>
      <c r="Q31" s="58"/>
      <c r="R31" s="58"/>
      <c r="S31" s="58"/>
      <c r="T31" s="58"/>
    </row>
    <row r="32" spans="1:21" ht="12.75" hidden="1" customHeight="1" x14ac:dyDescent="0.25">
      <c r="A32" s="59" t="s">
        <v>125</v>
      </c>
      <c r="B32" s="59"/>
      <c r="C32" s="59"/>
      <c r="D32" s="17"/>
      <c r="E32" s="17"/>
      <c r="F32" s="17"/>
      <c r="G32" s="17"/>
      <c r="H32" s="17"/>
      <c r="I32" s="17"/>
      <c r="J32" s="17"/>
      <c r="K32" s="17"/>
      <c r="L32" s="17"/>
      <c r="M32" s="17"/>
      <c r="N32" s="17"/>
      <c r="O32" s="17"/>
      <c r="P32" s="17"/>
      <c r="Q32" s="17"/>
      <c r="R32" s="17"/>
      <c r="S32" s="17"/>
      <c r="T32" s="17"/>
      <c r="U32" s="59"/>
    </row>
    <row r="33" spans="1:33" x14ac:dyDescent="0.25">
      <c r="A33" s="58" t="s">
        <v>118</v>
      </c>
      <c r="B33" s="58"/>
      <c r="C33" s="58"/>
      <c r="D33" s="58"/>
      <c r="E33" s="58"/>
      <c r="F33" s="58"/>
      <c r="G33" s="58"/>
      <c r="H33" s="58"/>
      <c r="I33" s="58"/>
      <c r="J33" s="58"/>
      <c r="K33" s="58"/>
      <c r="L33" s="58"/>
      <c r="M33" s="58"/>
      <c r="N33" s="58"/>
      <c r="O33" s="58"/>
      <c r="P33" s="58"/>
      <c r="Q33" s="58"/>
      <c r="R33" s="58"/>
      <c r="S33" s="58"/>
      <c r="T33" s="58"/>
      <c r="U33" s="59"/>
    </row>
    <row r="34" spans="1:33" x14ac:dyDescent="0.25">
      <c r="A34" s="59" t="s">
        <v>148</v>
      </c>
      <c r="B34" s="58"/>
      <c r="C34" s="58"/>
      <c r="D34" s="17"/>
      <c r="E34" s="17"/>
      <c r="F34" s="17"/>
      <c r="G34" s="17"/>
      <c r="H34" s="17"/>
      <c r="I34" s="17"/>
      <c r="J34" s="17"/>
      <c r="K34" s="17"/>
      <c r="L34" s="17"/>
      <c r="M34" s="17"/>
      <c r="N34" s="17"/>
      <c r="O34" s="17"/>
      <c r="P34" s="17"/>
      <c r="Q34" s="17"/>
      <c r="R34" s="17"/>
      <c r="S34" s="17"/>
      <c r="T34" s="17"/>
    </row>
    <row r="35" spans="1:33" x14ac:dyDescent="0.25">
      <c r="A35" s="59"/>
      <c r="B35" s="58"/>
      <c r="C35" s="58"/>
      <c r="D35" s="17"/>
      <c r="E35" s="17"/>
      <c r="F35" s="17"/>
      <c r="G35" s="17"/>
      <c r="H35" s="17"/>
      <c r="I35" s="17"/>
      <c r="J35" s="17"/>
      <c r="K35" s="17"/>
      <c r="L35" s="17"/>
      <c r="M35" s="17"/>
      <c r="N35" s="17"/>
      <c r="O35" s="17"/>
      <c r="P35" s="17"/>
      <c r="Q35" s="17"/>
      <c r="R35" s="17"/>
      <c r="S35" s="17"/>
      <c r="T35" s="17"/>
    </row>
    <row r="36" spans="1:33" x14ac:dyDescent="0.25">
      <c r="A36" s="58"/>
      <c r="B36" s="58"/>
      <c r="C36" s="58"/>
      <c r="D36" s="17"/>
      <c r="E36" s="17"/>
      <c r="F36" s="17"/>
      <c r="G36" s="17"/>
      <c r="H36" s="17"/>
      <c r="I36" s="17"/>
      <c r="J36" s="17"/>
      <c r="K36" s="17"/>
      <c r="L36" s="17"/>
      <c r="M36" s="17"/>
      <c r="N36" s="17"/>
      <c r="O36" s="17"/>
      <c r="P36" s="17"/>
      <c r="Q36" s="17"/>
      <c r="R36" s="17"/>
      <c r="S36" s="17"/>
      <c r="T36" s="17"/>
    </row>
    <row r="37" spans="1:33" ht="18" thickBot="1" x14ac:dyDescent="0.55000000000000004">
      <c r="A37" s="383"/>
      <c r="B37" s="383"/>
      <c r="C37" s="383"/>
      <c r="D37" s="383"/>
      <c r="E37" s="17"/>
      <c r="F37" s="17"/>
      <c r="G37" s="17"/>
      <c r="H37" s="17"/>
      <c r="I37" s="17"/>
      <c r="J37" s="17"/>
      <c r="K37" s="383"/>
      <c r="L37" s="383"/>
      <c r="M37" s="383"/>
      <c r="N37" s="383"/>
      <c r="O37" s="450"/>
      <c r="P37" s="450"/>
      <c r="Q37" s="17"/>
      <c r="R37" s="17"/>
      <c r="S37" s="17"/>
      <c r="T37" s="17"/>
      <c r="V37" s="17"/>
      <c r="W37" s="17"/>
      <c r="X37" s="17"/>
      <c r="Y37" s="17"/>
      <c r="Z37" s="17"/>
      <c r="AA37" s="17"/>
      <c r="AB37" s="17"/>
      <c r="AC37" s="17"/>
      <c r="AD37" s="17"/>
    </row>
    <row r="38" spans="1:33" x14ac:dyDescent="0.25">
      <c r="A38" s="45" t="s">
        <v>38</v>
      </c>
      <c r="B38" s="45"/>
      <c r="C38" s="45"/>
      <c r="D38" s="17"/>
      <c r="E38" s="17"/>
      <c r="F38" s="17"/>
      <c r="G38" s="17"/>
      <c r="K38" s="45" t="s">
        <v>39</v>
      </c>
      <c r="L38" s="17"/>
      <c r="M38" s="17"/>
      <c r="N38" s="17"/>
      <c r="O38" s="17"/>
      <c r="P38" s="69"/>
      <c r="Q38" s="69"/>
      <c r="R38" s="17"/>
      <c r="S38" s="17"/>
      <c r="T38" s="17"/>
      <c r="U38" s="74" t="s">
        <v>143</v>
      </c>
      <c r="V38" s="17"/>
      <c r="W38" s="17"/>
      <c r="X38" s="17"/>
      <c r="Y38" s="17"/>
      <c r="Z38" s="17"/>
      <c r="AA38" s="17"/>
      <c r="AB38" s="17"/>
      <c r="AC38" s="17"/>
      <c r="AD38" s="17"/>
    </row>
    <row r="39" spans="1:33" ht="39.75" customHeight="1" x14ac:dyDescent="0.25">
      <c r="P39" s="17"/>
      <c r="Q39" s="17"/>
      <c r="R39" s="17"/>
      <c r="S39" s="17"/>
      <c r="T39" s="17"/>
      <c r="V39" s="17"/>
      <c r="W39" s="17"/>
      <c r="X39" s="17"/>
      <c r="Y39" s="17"/>
      <c r="Z39" s="17"/>
      <c r="AA39" s="17"/>
      <c r="AB39" s="17"/>
      <c r="AC39" s="17"/>
      <c r="AD39" s="17"/>
    </row>
    <row r="40" spans="1:33" ht="33.75" customHeight="1" thickBot="1" x14ac:dyDescent="0.4">
      <c r="A40" s="397" t="str">
        <f>IF(AND(A1=0,H1=0),"Please fill out Name or Case Number",IF(A1=0,"",A1))</f>
        <v>No Name Please Fill Out Eligibility Tab</v>
      </c>
      <c r="B40" s="397"/>
      <c r="C40" s="397"/>
      <c r="D40" s="397"/>
      <c r="H40" s="397" t="str">
        <f>IF(AND(A1=0,H1=0),"Please fill out Name or Case Number",IF(H1=0,"",H1))</f>
        <v>No Case # Please Fill Out Eligibility Tab</v>
      </c>
      <c r="I40" s="397"/>
      <c r="J40" s="397"/>
      <c r="K40" s="397"/>
      <c r="O40" s="411" t="str">
        <f>IF(O1="","Please enter Agency Initials",O1)</f>
        <v>Please Enter Agency Initials on Eligibility tab</v>
      </c>
      <c r="P40" s="412"/>
      <c r="T40" s="70"/>
      <c r="U40" s="451">
        <f ca="1">TODAY()</f>
        <v>46038</v>
      </c>
      <c r="V40" s="452"/>
      <c r="W40" s="17"/>
      <c r="X40" s="17"/>
      <c r="Y40" s="17"/>
      <c r="Z40" s="17"/>
      <c r="AA40" s="17"/>
      <c r="AB40" s="17"/>
      <c r="AC40" s="17"/>
      <c r="AD40" s="17"/>
      <c r="AG40" s="7"/>
    </row>
    <row r="41" spans="1:33" ht="12.75" customHeight="1" thickTop="1" x14ac:dyDescent="0.25">
      <c r="A41" s="375" t="s">
        <v>16</v>
      </c>
      <c r="B41" s="375"/>
      <c r="C41" s="375"/>
      <c r="D41" s="375"/>
      <c r="H41" s="375" t="s">
        <v>17</v>
      </c>
      <c r="I41" s="375"/>
      <c r="J41" s="375"/>
      <c r="K41" s="375"/>
      <c r="O41" s="413" t="s">
        <v>224</v>
      </c>
      <c r="P41" s="414"/>
      <c r="T41" s="10"/>
      <c r="U41" s="375" t="s">
        <v>18</v>
      </c>
      <c r="V41" s="444"/>
      <c r="W41" s="17"/>
      <c r="X41" s="17"/>
      <c r="Y41" s="17"/>
      <c r="Z41" s="17"/>
      <c r="AA41" s="17"/>
      <c r="AB41" s="17"/>
      <c r="AC41" s="17"/>
      <c r="AD41" s="17"/>
    </row>
    <row r="42" spans="1:33" ht="13.5" customHeight="1" thickBot="1" x14ac:dyDescent="0.3">
      <c r="A42" s="17"/>
      <c r="B42" s="17"/>
      <c r="C42" s="17"/>
      <c r="D42" s="17"/>
      <c r="E42" s="17"/>
      <c r="F42" s="17"/>
      <c r="G42" s="17"/>
      <c r="H42" s="17"/>
      <c r="I42" s="17"/>
      <c r="J42" s="17"/>
      <c r="K42" s="17"/>
      <c r="L42" s="17"/>
      <c r="M42" s="17"/>
      <c r="N42" s="17"/>
      <c r="O42" s="17"/>
      <c r="P42" s="17"/>
      <c r="Q42" s="17"/>
      <c r="R42" s="17"/>
      <c r="S42" s="17"/>
      <c r="T42" s="17"/>
      <c r="V42" s="17"/>
      <c r="W42" s="17"/>
      <c r="X42" s="17"/>
      <c r="Y42" s="17"/>
      <c r="Z42" s="17"/>
      <c r="AA42" s="17"/>
      <c r="AB42" s="17"/>
      <c r="AC42" s="17"/>
      <c r="AD42" s="17"/>
    </row>
    <row r="43" spans="1:33" ht="10.5" customHeight="1" thickTop="1" x14ac:dyDescent="0.25">
      <c r="A43" s="37"/>
      <c r="B43" s="15"/>
      <c r="C43" s="15"/>
      <c r="D43" s="15"/>
      <c r="E43" s="15"/>
      <c r="F43" s="15"/>
      <c r="G43" s="15"/>
      <c r="H43" s="15"/>
      <c r="I43" s="15"/>
      <c r="J43" s="15"/>
      <c r="K43" s="15"/>
      <c r="L43" s="15"/>
      <c r="M43" s="15"/>
      <c r="N43" s="15"/>
      <c r="O43" s="15"/>
      <c r="P43" s="15"/>
      <c r="Q43" s="15"/>
      <c r="R43" s="15"/>
      <c r="S43" s="15"/>
      <c r="T43" s="15"/>
      <c r="U43" s="15"/>
      <c r="V43" s="15"/>
      <c r="W43" s="35"/>
      <c r="X43" s="17"/>
      <c r="Y43" s="17"/>
      <c r="Z43" s="17"/>
      <c r="AA43" s="17"/>
      <c r="AB43" s="17"/>
      <c r="AC43" s="17"/>
      <c r="AD43" s="17"/>
    </row>
    <row r="44" spans="1:33" ht="36" customHeight="1" x14ac:dyDescent="0.5">
      <c r="A44" s="38" t="s">
        <v>24</v>
      </c>
      <c r="B44" s="66"/>
      <c r="C44" s="66"/>
      <c r="D44" s="17"/>
      <c r="E44" s="17"/>
      <c r="F44" s="17"/>
      <c r="G44" s="17"/>
      <c r="H44" s="17"/>
      <c r="I44" s="17"/>
      <c r="J44" s="17"/>
      <c r="K44" s="17"/>
      <c r="L44" s="17"/>
      <c r="M44" s="17"/>
      <c r="N44" s="17"/>
      <c r="O44" s="17"/>
      <c r="P44" s="17"/>
      <c r="Q44" s="17"/>
      <c r="R44" s="17"/>
      <c r="S44" s="17"/>
      <c r="T44" s="17"/>
      <c r="U44" s="17"/>
      <c r="V44" s="17"/>
      <c r="W44" s="20"/>
      <c r="X44" s="17"/>
      <c r="Y44" s="17"/>
      <c r="Z44" s="17"/>
      <c r="AA44" s="17"/>
      <c r="AB44" s="17"/>
      <c r="AC44" s="17"/>
      <c r="AD44" s="17"/>
    </row>
    <row r="45" spans="1:33" ht="9.75" customHeight="1" x14ac:dyDescent="0.5">
      <c r="A45" s="38"/>
      <c r="B45" s="66"/>
      <c r="C45" s="66"/>
      <c r="D45" s="17"/>
      <c r="E45" s="17"/>
      <c r="F45" s="17"/>
      <c r="G45" s="17"/>
      <c r="H45" s="17"/>
      <c r="I45" s="17"/>
      <c r="J45" s="17"/>
      <c r="K45" s="17"/>
      <c r="L45" s="17"/>
      <c r="M45" s="17"/>
      <c r="N45" s="17"/>
      <c r="O45" s="17"/>
      <c r="P45" s="17"/>
      <c r="Q45" s="17"/>
      <c r="R45" s="17"/>
      <c r="S45" s="17"/>
      <c r="T45" s="17"/>
      <c r="U45" s="17"/>
      <c r="V45" s="17"/>
      <c r="W45" s="20"/>
      <c r="X45" s="17"/>
      <c r="Y45" s="17"/>
      <c r="Z45" s="17"/>
      <c r="AA45" s="17"/>
      <c r="AB45" s="17"/>
      <c r="AC45" s="17"/>
      <c r="AD45" s="17"/>
    </row>
    <row r="46" spans="1:33" ht="36.75" customHeight="1" x14ac:dyDescent="0.25">
      <c r="A46" s="157" t="s">
        <v>25</v>
      </c>
      <c r="B46" s="330" t="str">
        <f>IF(R5&gt;0,B22,"N/A")</f>
        <v>N/A</v>
      </c>
      <c r="C46" s="331"/>
      <c r="D46" s="332"/>
      <c r="E46" s="158"/>
      <c r="F46" s="359" t="s">
        <v>44</v>
      </c>
      <c r="G46" s="339"/>
      <c r="H46" s="339"/>
      <c r="I46" s="360" t="str">
        <f>IF(R5&lt;1,"N/A",R5)</f>
        <v>N/A</v>
      </c>
      <c r="J46" s="361"/>
      <c r="K46" s="362"/>
      <c r="M46" s="67"/>
      <c r="N46" s="67"/>
      <c r="O46" s="67"/>
      <c r="P46" s="67"/>
      <c r="Q46" s="67"/>
      <c r="S46" s="178"/>
      <c r="U46" s="179"/>
      <c r="V46" s="17"/>
      <c r="W46" s="180"/>
      <c r="X46" s="17"/>
      <c r="Y46" s="17"/>
      <c r="Z46" s="17"/>
      <c r="AA46" s="17"/>
      <c r="AB46" s="17"/>
      <c r="AC46" s="17"/>
      <c r="AD46" s="17"/>
    </row>
    <row r="47" spans="1:33" ht="14.25" hidden="1" customHeight="1" x14ac:dyDescent="0.5">
      <c r="A47" s="38"/>
      <c r="B47" s="66"/>
      <c r="C47" s="66"/>
      <c r="D47" s="17"/>
      <c r="E47" s="17"/>
      <c r="F47" s="17"/>
      <c r="G47" s="17"/>
      <c r="H47" s="17"/>
      <c r="I47" s="17"/>
      <c r="J47" s="17"/>
      <c r="K47" s="17"/>
      <c r="L47" s="17"/>
      <c r="M47" s="17"/>
      <c r="N47" s="17"/>
      <c r="O47" s="17"/>
      <c r="P47" s="17"/>
      <c r="Q47" s="17"/>
      <c r="R47" s="17"/>
      <c r="S47" s="17"/>
      <c r="T47" s="17"/>
      <c r="U47" s="11"/>
      <c r="V47" s="17"/>
      <c r="W47" s="20"/>
      <c r="X47" s="17"/>
      <c r="Y47" s="17"/>
      <c r="Z47" s="17"/>
      <c r="AA47" s="17"/>
      <c r="AB47" s="17"/>
      <c r="AC47" s="17"/>
      <c r="AD47" s="17"/>
    </row>
    <row r="48" spans="1:33" ht="36" hidden="1" customHeight="1" x14ac:dyDescent="0.25">
      <c r="A48" s="159" t="s">
        <v>136</v>
      </c>
      <c r="B48" s="348" t="str">
        <f>IF(B46=0,0,IF(R5&gt;0,B22,"N/A"))</f>
        <v>N/A</v>
      </c>
      <c r="C48" s="349"/>
      <c r="D48" s="350"/>
      <c r="E48" s="94"/>
      <c r="F48" s="359" t="s">
        <v>44</v>
      </c>
      <c r="G48" s="339"/>
      <c r="H48" s="339"/>
      <c r="I48" s="360" t="str">
        <f>IF(R5&lt;1,"N/A",R5)</f>
        <v>N/A</v>
      </c>
      <c r="J48" s="361"/>
      <c r="K48" s="362"/>
      <c r="S48" s="178"/>
      <c r="W48" s="20"/>
      <c r="X48" s="46"/>
      <c r="Y48" s="46"/>
      <c r="Z48" s="46"/>
      <c r="AA48" s="46"/>
      <c r="AB48" s="46"/>
      <c r="AC48" s="46"/>
      <c r="AD48" s="46"/>
    </row>
    <row r="49" spans="1:31" ht="14.25" customHeight="1" x14ac:dyDescent="0.35">
      <c r="A49" s="96"/>
      <c r="B49" s="95"/>
      <c r="C49" s="95"/>
      <c r="D49" s="95"/>
      <c r="E49" s="95"/>
      <c r="F49" s="95"/>
      <c r="G49" s="95"/>
      <c r="H49" s="95"/>
      <c r="I49" s="95"/>
      <c r="J49" s="95"/>
      <c r="K49" s="95"/>
      <c r="L49" s="95"/>
      <c r="M49" s="95"/>
      <c r="N49" s="95"/>
      <c r="O49" s="95"/>
      <c r="P49" s="95"/>
      <c r="Q49" s="95"/>
      <c r="R49" s="95"/>
      <c r="S49" s="17"/>
      <c r="T49" s="17"/>
      <c r="U49" s="17"/>
      <c r="V49" s="46"/>
      <c r="W49" s="151"/>
      <c r="X49" s="46"/>
      <c r="Y49" s="46"/>
      <c r="Z49" s="46"/>
      <c r="AA49" s="46"/>
      <c r="AB49" s="46"/>
      <c r="AC49" s="46"/>
      <c r="AD49" s="46"/>
    </row>
    <row r="50" spans="1:31" ht="36" customHeight="1" x14ac:dyDescent="0.35">
      <c r="A50" s="97" t="s">
        <v>45</v>
      </c>
      <c r="B50" s="351" t="str">
        <f>IF(AI7="Cat 1",AI7,IF(AI7="Cat 2",AI7,IF(AI7="Cat 3",AI7,IF(AI7="Cat 4",AI7,IF(AI7="Cat 5",AI7,IF(AI7="Cat 6",AI7,IF(AG6="N/A","N/A","N/A")))))))</f>
        <v>N/A</v>
      </c>
      <c r="C50" s="352"/>
      <c r="D50" s="353"/>
      <c r="E50" s="95"/>
      <c r="F50" s="359" t="s">
        <v>12</v>
      </c>
      <c r="G50" s="399"/>
      <c r="H50" s="400"/>
      <c r="I50" s="415" t="str">
        <f>IF(B50="Cat 1",B54,IF(B50="Cat 2",F54,IF(B50="Cat 3",I54,IF(B50="Cat 4",M54,IF(B50="Cat 5",P54,IF(B50="Cat 6",S54,"N/A"))))))</f>
        <v>N/A</v>
      </c>
      <c r="J50" s="416"/>
      <c r="K50" s="417"/>
      <c r="L50" s="95"/>
      <c r="M50" s="398" t="s">
        <v>192</v>
      </c>
      <c r="N50" s="426"/>
      <c r="O50" s="426"/>
      <c r="P50" s="427"/>
      <c r="Q50" s="438" t="str">
        <f>IF(AI7="Cat 1",B46*B54,IF(AI7="Cat 2",B46*F54,IF(AI7="Cat 3",B46*I54,IF(AI7="Cat 4",B46*M54,IF(AI7="Cat 5",B46*P54,IF(AI7="Cat 6",B46*S54,IF(AG6="N/A","N/A","N/A")))))))</f>
        <v>N/A</v>
      </c>
      <c r="R50" s="416"/>
      <c r="S50" s="417"/>
      <c r="T50" s="67"/>
      <c r="W50" s="20"/>
      <c r="X50" s="46"/>
      <c r="Y50" s="46"/>
      <c r="Z50" s="46"/>
      <c r="AA50" s="46"/>
      <c r="AB50" s="46"/>
      <c r="AC50" s="46"/>
      <c r="AD50" s="46"/>
    </row>
    <row r="51" spans="1:31" ht="17.5" x14ac:dyDescent="0.35">
      <c r="A51" s="96"/>
      <c r="B51" s="95"/>
      <c r="C51" s="95"/>
      <c r="D51" s="95"/>
      <c r="E51" s="95"/>
      <c r="F51" s="95"/>
      <c r="G51" s="95"/>
      <c r="H51" s="95"/>
      <c r="I51" s="95"/>
      <c r="J51" s="95"/>
      <c r="K51" s="95"/>
      <c r="L51" s="95"/>
      <c r="M51" s="95"/>
      <c r="N51" s="95"/>
      <c r="O51" s="95"/>
      <c r="P51" s="95"/>
      <c r="Q51" s="95"/>
      <c r="R51" s="95"/>
      <c r="S51" s="17"/>
      <c r="T51" s="17"/>
      <c r="U51" s="17"/>
      <c r="V51" s="46"/>
      <c r="W51" s="151"/>
      <c r="X51" s="46"/>
      <c r="Y51" s="46"/>
      <c r="Z51" s="46"/>
      <c r="AA51" s="46"/>
      <c r="AB51" s="46"/>
      <c r="AC51" s="46"/>
      <c r="AD51" s="46"/>
    </row>
    <row r="52" spans="1:31" ht="36" customHeight="1" x14ac:dyDescent="0.35">
      <c r="A52" s="98" t="s">
        <v>10</v>
      </c>
      <c r="B52" s="403" t="str">
        <f>IF(AI7="Cat 1",AI7,IF(AI7="Cat 2",AI7,IF(AI7="Cat 3",AI7,IF(AI7="Cat 4",AI7,IF(AI7="Cat 5",AI7,IF(AI7="Cat 6",AI7,IF(AG6="N/A","N/A","N/A")))))))</f>
        <v>N/A</v>
      </c>
      <c r="C52" s="404"/>
      <c r="D52" s="405"/>
      <c r="E52" s="95"/>
      <c r="F52" s="398" t="s">
        <v>11</v>
      </c>
      <c r="G52" s="399"/>
      <c r="H52" s="400"/>
      <c r="I52" s="415" t="str">
        <f>IF(B52="Cat 1",B55,IF(B52="Cat 2",F55,IF(B52="Cat 3",I55,IF(B52="Cat 4",M55,IF(B52="Cat 5",P55,IF(B52="Cat 6",S55,"N/A"))))))</f>
        <v>N/A</v>
      </c>
      <c r="J52" s="416"/>
      <c r="K52" s="417"/>
      <c r="L52" s="95"/>
      <c r="M52" s="95"/>
      <c r="N52" s="95"/>
      <c r="O52" s="95"/>
      <c r="P52" s="95"/>
      <c r="Q52" s="95"/>
      <c r="R52" s="95"/>
      <c r="S52" s="17"/>
      <c r="T52" s="17"/>
      <c r="U52" s="17"/>
      <c r="V52" s="46"/>
      <c r="W52" s="151"/>
      <c r="X52" s="18"/>
      <c r="Y52" s="18"/>
      <c r="Z52" s="18"/>
      <c r="AA52" s="18"/>
      <c r="AB52" s="18"/>
      <c r="AC52" s="18"/>
      <c r="AD52" s="18"/>
    </row>
    <row r="53" spans="1:31" ht="13" thickBot="1" x14ac:dyDescent="0.3">
      <c r="A53" s="16"/>
      <c r="B53" s="17"/>
      <c r="C53" s="17"/>
      <c r="D53" s="17"/>
      <c r="E53" s="17"/>
      <c r="F53" s="17"/>
      <c r="G53" s="17"/>
      <c r="H53" s="17"/>
      <c r="I53" s="17"/>
      <c r="J53" s="17"/>
      <c r="K53" s="17"/>
      <c r="L53" s="17"/>
      <c r="M53" s="17"/>
      <c r="N53" s="17"/>
      <c r="O53" s="17"/>
      <c r="P53" s="17"/>
      <c r="Q53" s="17"/>
      <c r="R53" s="17"/>
      <c r="S53" s="17"/>
      <c r="T53" s="17"/>
      <c r="U53" s="17"/>
      <c r="V53" s="18"/>
      <c r="W53" s="19"/>
      <c r="X53" s="47"/>
      <c r="Y53" s="47"/>
      <c r="Z53" s="47"/>
      <c r="AA53" s="47"/>
      <c r="AB53" s="47"/>
      <c r="AC53" s="47"/>
      <c r="AD53" s="47"/>
      <c r="AE53" s="48"/>
    </row>
    <row r="54" spans="1:31" ht="13" thickTop="1" x14ac:dyDescent="0.25">
      <c r="A54" s="23" t="s">
        <v>23</v>
      </c>
      <c r="B54" s="345">
        <v>0</v>
      </c>
      <c r="C54" s="346"/>
      <c r="D54" s="346"/>
      <c r="E54" s="347"/>
      <c r="F54" s="345">
        <v>0.05</v>
      </c>
      <c r="G54" s="401"/>
      <c r="H54" s="402"/>
      <c r="I54" s="345">
        <v>0.05</v>
      </c>
      <c r="J54" s="401"/>
      <c r="K54" s="401"/>
      <c r="L54" s="402"/>
      <c r="M54" s="345">
        <v>7.0000000000000007E-2</v>
      </c>
      <c r="N54" s="401"/>
      <c r="O54" s="402"/>
      <c r="P54" s="345">
        <v>0.1</v>
      </c>
      <c r="Q54" s="401"/>
      <c r="R54" s="402"/>
      <c r="S54" s="345">
        <v>0.1</v>
      </c>
      <c r="T54" s="401"/>
      <c r="U54" s="401"/>
      <c r="V54" s="322" t="s">
        <v>130</v>
      </c>
      <c r="W54" s="323"/>
      <c r="X54" s="18"/>
      <c r="Y54" s="18"/>
      <c r="Z54" s="18"/>
      <c r="AA54" s="18"/>
      <c r="AB54" s="18"/>
      <c r="AC54" s="18"/>
      <c r="AD54" s="18"/>
    </row>
    <row r="55" spans="1:31" x14ac:dyDescent="0.25">
      <c r="A55" s="24" t="s">
        <v>7</v>
      </c>
      <c r="B55" s="453">
        <f>Eligibility!B62</f>
        <v>0</v>
      </c>
      <c r="C55" s="456"/>
      <c r="D55" s="456"/>
      <c r="E55" s="457"/>
      <c r="F55" s="453">
        <f>Eligibility!F62</f>
        <v>0.01</v>
      </c>
      <c r="G55" s="454"/>
      <c r="H55" s="455"/>
      <c r="I55" s="453">
        <f>Eligibility!I62</f>
        <v>0.02</v>
      </c>
      <c r="J55" s="454"/>
      <c r="K55" s="454"/>
      <c r="L55" s="455"/>
      <c r="M55" s="453">
        <f>Eligibility!M62</f>
        <v>0.03</v>
      </c>
      <c r="N55" s="454"/>
      <c r="O55" s="455"/>
      <c r="P55" s="453">
        <f>Eligibility!P62</f>
        <v>0.05</v>
      </c>
      <c r="Q55" s="454"/>
      <c r="R55" s="455"/>
      <c r="S55" s="453">
        <f>Eligibility!S62</f>
        <v>0.1</v>
      </c>
      <c r="T55" s="454"/>
      <c r="U55" s="454"/>
      <c r="V55" s="324" t="s">
        <v>130</v>
      </c>
      <c r="W55" s="325"/>
      <c r="X55" s="18"/>
      <c r="Y55" s="18"/>
      <c r="Z55" s="18"/>
      <c r="AA55" s="18"/>
      <c r="AB55" s="18"/>
      <c r="AC55" s="18"/>
      <c r="AD55" s="18"/>
    </row>
    <row r="56" spans="1:31" ht="13" thickBot="1" x14ac:dyDescent="0.3">
      <c r="A56" s="25" t="s">
        <v>8</v>
      </c>
      <c r="B56" s="333" t="s">
        <v>47</v>
      </c>
      <c r="C56" s="334"/>
      <c r="D56" s="334"/>
      <c r="E56" s="335"/>
      <c r="F56" s="333" t="s">
        <v>201</v>
      </c>
      <c r="G56" s="365"/>
      <c r="H56" s="366"/>
      <c r="I56" s="333" t="s">
        <v>202</v>
      </c>
      <c r="J56" s="365"/>
      <c r="K56" s="365"/>
      <c r="L56" s="366"/>
      <c r="M56" s="333" t="s">
        <v>50</v>
      </c>
      <c r="N56" s="365"/>
      <c r="O56" s="366"/>
      <c r="P56" s="333" t="s">
        <v>51</v>
      </c>
      <c r="Q56" s="365"/>
      <c r="R56" s="366"/>
      <c r="S56" s="333" t="s">
        <v>52</v>
      </c>
      <c r="T56" s="365"/>
      <c r="U56" s="365"/>
      <c r="V56" s="326" t="s">
        <v>131</v>
      </c>
      <c r="W56" s="327"/>
      <c r="X56" s="18"/>
      <c r="Y56" s="18"/>
      <c r="Z56" s="18"/>
      <c r="AA56" s="18"/>
      <c r="AB56" s="18"/>
      <c r="AC56" s="18"/>
      <c r="AD56" s="18"/>
    </row>
    <row r="57" spans="1:31" ht="13" thickTop="1" x14ac:dyDescent="0.25">
      <c r="A57" s="26"/>
      <c r="B57" s="384"/>
      <c r="C57" s="337"/>
      <c r="D57" s="337"/>
      <c r="E57" s="354"/>
      <c r="F57" s="336"/>
      <c r="G57" s="337"/>
      <c r="H57" s="354"/>
      <c r="I57" s="336"/>
      <c r="J57" s="337"/>
      <c r="K57" s="337"/>
      <c r="L57" s="354"/>
      <c r="M57" s="336"/>
      <c r="N57" s="337"/>
      <c r="O57" s="354"/>
      <c r="P57" s="336"/>
      <c r="Q57" s="337"/>
      <c r="R57" s="354"/>
      <c r="S57" s="336"/>
      <c r="T57" s="337"/>
      <c r="U57" s="337"/>
      <c r="V57" s="152"/>
      <c r="W57" s="153"/>
      <c r="X57" s="18"/>
      <c r="Y57" s="18"/>
      <c r="Z57" s="18"/>
      <c r="AA57" s="18"/>
      <c r="AB57" s="18"/>
      <c r="AC57" s="18"/>
      <c r="AD57" s="18"/>
    </row>
    <row r="58" spans="1:31" x14ac:dyDescent="0.25">
      <c r="A58" s="24" t="s">
        <v>9</v>
      </c>
      <c r="B58" s="338">
        <v>1</v>
      </c>
      <c r="C58" s="339"/>
      <c r="D58" s="339"/>
      <c r="E58" s="362"/>
      <c r="F58" s="338">
        <v>2</v>
      </c>
      <c r="G58" s="339"/>
      <c r="H58" s="362"/>
      <c r="I58" s="338">
        <v>3</v>
      </c>
      <c r="J58" s="339"/>
      <c r="K58" s="339"/>
      <c r="L58" s="362"/>
      <c r="M58" s="338">
        <v>4</v>
      </c>
      <c r="N58" s="339"/>
      <c r="O58" s="362"/>
      <c r="P58" s="338">
        <v>5</v>
      </c>
      <c r="Q58" s="339"/>
      <c r="R58" s="362"/>
      <c r="S58" s="338">
        <v>6</v>
      </c>
      <c r="T58" s="339"/>
      <c r="U58" s="339"/>
      <c r="V58" s="324" t="s">
        <v>132</v>
      </c>
      <c r="W58" s="325"/>
      <c r="X58" s="18"/>
      <c r="Y58" s="18"/>
      <c r="Z58" s="18"/>
      <c r="AA58" s="18"/>
      <c r="AB58" s="18"/>
      <c r="AC58" s="18"/>
      <c r="AD58" s="18"/>
    </row>
    <row r="59" spans="1:31" x14ac:dyDescent="0.25">
      <c r="A59" s="27" t="s">
        <v>0</v>
      </c>
      <c r="B59" s="385"/>
      <c r="C59" s="341"/>
      <c r="D59" s="341"/>
      <c r="E59" s="386"/>
      <c r="F59" s="340"/>
      <c r="G59" s="423"/>
      <c r="H59" s="386"/>
      <c r="I59" s="340"/>
      <c r="J59" s="341"/>
      <c r="K59" s="341"/>
      <c r="L59" s="386"/>
      <c r="M59" s="340"/>
      <c r="N59" s="341"/>
      <c r="O59" s="386"/>
      <c r="P59" s="340"/>
      <c r="Q59" s="341"/>
      <c r="R59" s="386"/>
      <c r="S59" s="340"/>
      <c r="T59" s="341"/>
      <c r="U59" s="341"/>
      <c r="V59" s="246"/>
      <c r="W59" s="154"/>
      <c r="X59" s="18"/>
      <c r="Y59" s="18"/>
      <c r="Z59" s="18"/>
      <c r="AA59" s="18"/>
      <c r="AB59" s="18"/>
      <c r="AC59" s="18"/>
      <c r="AD59" s="18"/>
    </row>
    <row r="60" spans="1:31" x14ac:dyDescent="0.25">
      <c r="A60" s="27">
        <v>1</v>
      </c>
      <c r="B60" s="247">
        <v>0</v>
      </c>
      <c r="C60" s="182" t="s">
        <v>53</v>
      </c>
      <c r="D60" s="406">
        <f>Eligibility!D67</f>
        <v>15960</v>
      </c>
      <c r="E60" s="407"/>
      <c r="F60" s="247">
        <f>D60+1</f>
        <v>15961</v>
      </c>
      <c r="G60" s="182" t="s">
        <v>53</v>
      </c>
      <c r="H60" s="248">
        <f t="shared" ref="H60:H67" si="0">ROUND(D60*1.38,0)</f>
        <v>22025</v>
      </c>
      <c r="I60" s="247">
        <f t="shared" ref="I60:I67" si="1">H60+1</f>
        <v>22026</v>
      </c>
      <c r="J60" s="182" t="s">
        <v>53</v>
      </c>
      <c r="K60" s="355">
        <f>ROUND(D60*1.5,0)</f>
        <v>23940</v>
      </c>
      <c r="L60" s="356"/>
      <c r="M60" s="247">
        <f>K60+1</f>
        <v>23941</v>
      </c>
      <c r="N60" s="182" t="s">
        <v>53</v>
      </c>
      <c r="O60" s="248">
        <f>ROUND(D60*2,0)</f>
        <v>31920</v>
      </c>
      <c r="P60" s="247">
        <f>O60+1</f>
        <v>31921</v>
      </c>
      <c r="Q60" s="182" t="s">
        <v>53</v>
      </c>
      <c r="R60" s="248">
        <f>ROUND(D60*3,0)</f>
        <v>47880</v>
      </c>
      <c r="S60" s="247">
        <f>R60+1</f>
        <v>47881</v>
      </c>
      <c r="T60" s="182" t="s">
        <v>53</v>
      </c>
      <c r="U60" s="247">
        <f>ROUND(D60*4,0)</f>
        <v>63840</v>
      </c>
      <c r="V60" s="183" t="s">
        <v>133</v>
      </c>
      <c r="W60" s="156">
        <f>U60</f>
        <v>63840</v>
      </c>
      <c r="X60" s="18"/>
      <c r="Y60" s="18"/>
      <c r="Z60" s="18"/>
      <c r="AA60" s="18"/>
      <c r="AB60" s="18"/>
      <c r="AC60" s="18"/>
      <c r="AD60" s="18"/>
    </row>
    <row r="61" spans="1:31" x14ac:dyDescent="0.25">
      <c r="A61" s="27">
        <v>2</v>
      </c>
      <c r="B61" s="247">
        <v>0</v>
      </c>
      <c r="C61" s="182" t="s">
        <v>53</v>
      </c>
      <c r="D61" s="355">
        <f>D60+$B$68</f>
        <v>21640</v>
      </c>
      <c r="E61" s="356"/>
      <c r="F61" s="247">
        <f t="shared" ref="F61:F67" si="2">D61+1</f>
        <v>21641</v>
      </c>
      <c r="G61" s="182" t="s">
        <v>53</v>
      </c>
      <c r="H61" s="248">
        <f t="shared" si="0"/>
        <v>29863</v>
      </c>
      <c r="I61" s="247">
        <f t="shared" si="1"/>
        <v>29864</v>
      </c>
      <c r="J61" s="182" t="s">
        <v>53</v>
      </c>
      <c r="K61" s="355">
        <f t="shared" ref="K61:K67" si="3">ROUND(D61*1.5,0)</f>
        <v>32460</v>
      </c>
      <c r="L61" s="356"/>
      <c r="M61" s="247">
        <f t="shared" ref="M61:M67" si="4">K61+1</f>
        <v>32461</v>
      </c>
      <c r="N61" s="182" t="s">
        <v>53</v>
      </c>
      <c r="O61" s="248">
        <f t="shared" ref="O61:O67" si="5">ROUND(D61*2,0)</f>
        <v>43280</v>
      </c>
      <c r="P61" s="247">
        <f t="shared" ref="P61:P67" si="6">O61+1</f>
        <v>43281</v>
      </c>
      <c r="Q61" s="182" t="s">
        <v>53</v>
      </c>
      <c r="R61" s="248">
        <f t="shared" ref="R61:R67" si="7">ROUND(D61*3,0)</f>
        <v>64920</v>
      </c>
      <c r="S61" s="247">
        <f t="shared" ref="S61:S67" si="8">R61+1</f>
        <v>64921</v>
      </c>
      <c r="T61" s="182" t="s">
        <v>53</v>
      </c>
      <c r="U61" s="247">
        <f t="shared" ref="U61:U67" si="9">ROUND(D61*4,0)</f>
        <v>86560</v>
      </c>
      <c r="V61" s="183" t="s">
        <v>133</v>
      </c>
      <c r="W61" s="156">
        <f t="shared" ref="W61:W69" si="10">U61</f>
        <v>86560</v>
      </c>
      <c r="X61" s="18"/>
      <c r="Y61" s="18"/>
      <c r="Z61" s="18"/>
      <c r="AA61" s="18"/>
      <c r="AB61" s="18"/>
      <c r="AC61" s="18"/>
      <c r="AD61" s="18"/>
    </row>
    <row r="62" spans="1:31" x14ac:dyDescent="0.25">
      <c r="A62" s="27">
        <v>3</v>
      </c>
      <c r="B62" s="247">
        <v>0</v>
      </c>
      <c r="C62" s="182" t="s">
        <v>53</v>
      </c>
      <c r="D62" s="355">
        <f t="shared" ref="D62:D67" si="11">D61+$B$68</f>
        <v>27320</v>
      </c>
      <c r="E62" s="356"/>
      <c r="F62" s="247">
        <f t="shared" si="2"/>
        <v>27321</v>
      </c>
      <c r="G62" s="182" t="s">
        <v>53</v>
      </c>
      <c r="H62" s="248">
        <f t="shared" si="0"/>
        <v>37702</v>
      </c>
      <c r="I62" s="247">
        <f t="shared" si="1"/>
        <v>37703</v>
      </c>
      <c r="J62" s="182" t="s">
        <v>53</v>
      </c>
      <c r="K62" s="355">
        <f t="shared" si="3"/>
        <v>40980</v>
      </c>
      <c r="L62" s="356"/>
      <c r="M62" s="247">
        <f t="shared" si="4"/>
        <v>40981</v>
      </c>
      <c r="N62" s="182" t="s">
        <v>53</v>
      </c>
      <c r="O62" s="248">
        <f t="shared" si="5"/>
        <v>54640</v>
      </c>
      <c r="P62" s="247">
        <f t="shared" si="6"/>
        <v>54641</v>
      </c>
      <c r="Q62" s="182" t="s">
        <v>53</v>
      </c>
      <c r="R62" s="248">
        <f t="shared" si="7"/>
        <v>81960</v>
      </c>
      <c r="S62" s="247">
        <f t="shared" si="8"/>
        <v>81961</v>
      </c>
      <c r="T62" s="182" t="s">
        <v>53</v>
      </c>
      <c r="U62" s="247">
        <f t="shared" si="9"/>
        <v>109280</v>
      </c>
      <c r="V62" s="183" t="s">
        <v>133</v>
      </c>
      <c r="W62" s="156">
        <f t="shared" si="10"/>
        <v>109280</v>
      </c>
      <c r="X62" s="11"/>
      <c r="Y62" s="11"/>
      <c r="Z62" s="11"/>
      <c r="AA62" s="11"/>
      <c r="AB62" s="11"/>
      <c r="AC62" s="11"/>
      <c r="AD62" s="11"/>
    </row>
    <row r="63" spans="1:31" x14ac:dyDescent="0.25">
      <c r="A63" s="27">
        <v>4</v>
      </c>
      <c r="B63" s="247">
        <v>0</v>
      </c>
      <c r="C63" s="182" t="s">
        <v>53</v>
      </c>
      <c r="D63" s="355">
        <f t="shared" si="11"/>
        <v>33000</v>
      </c>
      <c r="E63" s="356"/>
      <c r="F63" s="247">
        <f t="shared" si="2"/>
        <v>33001</v>
      </c>
      <c r="G63" s="182" t="s">
        <v>53</v>
      </c>
      <c r="H63" s="248">
        <f t="shared" si="0"/>
        <v>45540</v>
      </c>
      <c r="I63" s="247">
        <f t="shared" si="1"/>
        <v>45541</v>
      </c>
      <c r="J63" s="182" t="s">
        <v>53</v>
      </c>
      <c r="K63" s="355">
        <f t="shared" si="3"/>
        <v>49500</v>
      </c>
      <c r="L63" s="356"/>
      <c r="M63" s="247">
        <f t="shared" si="4"/>
        <v>49501</v>
      </c>
      <c r="N63" s="182" t="s">
        <v>53</v>
      </c>
      <c r="O63" s="248">
        <f t="shared" si="5"/>
        <v>66000</v>
      </c>
      <c r="P63" s="247">
        <f t="shared" si="6"/>
        <v>66001</v>
      </c>
      <c r="Q63" s="182" t="s">
        <v>53</v>
      </c>
      <c r="R63" s="248">
        <f t="shared" si="7"/>
        <v>99000</v>
      </c>
      <c r="S63" s="247">
        <f t="shared" si="8"/>
        <v>99001</v>
      </c>
      <c r="T63" s="182" t="s">
        <v>53</v>
      </c>
      <c r="U63" s="247">
        <f t="shared" si="9"/>
        <v>132000</v>
      </c>
      <c r="V63" s="183" t="s">
        <v>133</v>
      </c>
      <c r="W63" s="156">
        <f t="shared" si="10"/>
        <v>132000</v>
      </c>
      <c r="X63" s="18"/>
      <c r="Y63" s="18"/>
      <c r="Z63" s="18"/>
      <c r="AA63" s="18"/>
      <c r="AB63" s="18"/>
      <c r="AC63" s="18"/>
      <c r="AD63" s="18"/>
    </row>
    <row r="64" spans="1:31" x14ac:dyDescent="0.25">
      <c r="A64" s="27">
        <v>5</v>
      </c>
      <c r="B64" s="247">
        <v>0</v>
      </c>
      <c r="C64" s="182" t="s">
        <v>53</v>
      </c>
      <c r="D64" s="355">
        <f t="shared" si="11"/>
        <v>38680</v>
      </c>
      <c r="E64" s="356"/>
      <c r="F64" s="247">
        <f t="shared" si="2"/>
        <v>38681</v>
      </c>
      <c r="G64" s="182" t="s">
        <v>53</v>
      </c>
      <c r="H64" s="248">
        <f t="shared" si="0"/>
        <v>53378</v>
      </c>
      <c r="I64" s="247">
        <f t="shared" si="1"/>
        <v>53379</v>
      </c>
      <c r="J64" s="182" t="s">
        <v>53</v>
      </c>
      <c r="K64" s="355">
        <f t="shared" si="3"/>
        <v>58020</v>
      </c>
      <c r="L64" s="356"/>
      <c r="M64" s="247">
        <f t="shared" si="4"/>
        <v>58021</v>
      </c>
      <c r="N64" s="182" t="s">
        <v>53</v>
      </c>
      <c r="O64" s="248">
        <f t="shared" si="5"/>
        <v>77360</v>
      </c>
      <c r="P64" s="247">
        <f t="shared" si="6"/>
        <v>77361</v>
      </c>
      <c r="Q64" s="182" t="s">
        <v>53</v>
      </c>
      <c r="R64" s="248">
        <f t="shared" si="7"/>
        <v>116040</v>
      </c>
      <c r="S64" s="247">
        <f t="shared" si="8"/>
        <v>116041</v>
      </c>
      <c r="T64" s="182" t="s">
        <v>53</v>
      </c>
      <c r="U64" s="247">
        <f t="shared" si="9"/>
        <v>154720</v>
      </c>
      <c r="V64" s="183" t="s">
        <v>133</v>
      </c>
      <c r="W64" s="156">
        <f t="shared" si="10"/>
        <v>154720</v>
      </c>
      <c r="X64" s="17"/>
      <c r="Y64" s="17"/>
      <c r="Z64" s="17"/>
      <c r="AA64" s="17"/>
      <c r="AB64" s="17"/>
      <c r="AC64" s="17"/>
      <c r="AD64" s="17"/>
    </row>
    <row r="65" spans="1:23" x14ac:dyDescent="0.25">
      <c r="A65" s="27">
        <v>6</v>
      </c>
      <c r="B65" s="247">
        <v>0</v>
      </c>
      <c r="C65" s="182" t="s">
        <v>53</v>
      </c>
      <c r="D65" s="355">
        <f t="shared" si="11"/>
        <v>44360</v>
      </c>
      <c r="E65" s="356"/>
      <c r="F65" s="247">
        <f t="shared" si="2"/>
        <v>44361</v>
      </c>
      <c r="G65" s="182" t="s">
        <v>53</v>
      </c>
      <c r="H65" s="248">
        <f t="shared" si="0"/>
        <v>61217</v>
      </c>
      <c r="I65" s="247">
        <f t="shared" si="1"/>
        <v>61218</v>
      </c>
      <c r="J65" s="182" t="s">
        <v>53</v>
      </c>
      <c r="K65" s="355">
        <f t="shared" si="3"/>
        <v>66540</v>
      </c>
      <c r="L65" s="356"/>
      <c r="M65" s="247">
        <f t="shared" si="4"/>
        <v>66541</v>
      </c>
      <c r="N65" s="182" t="s">
        <v>53</v>
      </c>
      <c r="O65" s="248">
        <f t="shared" si="5"/>
        <v>88720</v>
      </c>
      <c r="P65" s="247">
        <f t="shared" si="6"/>
        <v>88721</v>
      </c>
      <c r="Q65" s="182" t="s">
        <v>53</v>
      </c>
      <c r="R65" s="248">
        <f t="shared" si="7"/>
        <v>133080</v>
      </c>
      <c r="S65" s="247">
        <f t="shared" si="8"/>
        <v>133081</v>
      </c>
      <c r="T65" s="182" t="s">
        <v>53</v>
      </c>
      <c r="U65" s="247">
        <f t="shared" si="9"/>
        <v>177440</v>
      </c>
      <c r="V65" s="183" t="s">
        <v>133</v>
      </c>
      <c r="W65" s="156">
        <f t="shared" si="10"/>
        <v>177440</v>
      </c>
    </row>
    <row r="66" spans="1:23" x14ac:dyDescent="0.25">
      <c r="A66" s="27">
        <v>7</v>
      </c>
      <c r="B66" s="247">
        <v>0</v>
      </c>
      <c r="C66" s="182" t="s">
        <v>53</v>
      </c>
      <c r="D66" s="355">
        <f t="shared" si="11"/>
        <v>50040</v>
      </c>
      <c r="E66" s="356"/>
      <c r="F66" s="247">
        <f t="shared" si="2"/>
        <v>50041</v>
      </c>
      <c r="G66" s="182" t="s">
        <v>53</v>
      </c>
      <c r="H66" s="248">
        <f t="shared" si="0"/>
        <v>69055</v>
      </c>
      <c r="I66" s="247">
        <f t="shared" si="1"/>
        <v>69056</v>
      </c>
      <c r="J66" s="182" t="s">
        <v>53</v>
      </c>
      <c r="K66" s="355">
        <f t="shared" si="3"/>
        <v>75060</v>
      </c>
      <c r="L66" s="356"/>
      <c r="M66" s="247">
        <f t="shared" si="4"/>
        <v>75061</v>
      </c>
      <c r="N66" s="182" t="s">
        <v>53</v>
      </c>
      <c r="O66" s="248">
        <f t="shared" si="5"/>
        <v>100080</v>
      </c>
      <c r="P66" s="247">
        <f t="shared" si="6"/>
        <v>100081</v>
      </c>
      <c r="Q66" s="182" t="s">
        <v>53</v>
      </c>
      <c r="R66" s="248">
        <f t="shared" si="7"/>
        <v>150120</v>
      </c>
      <c r="S66" s="247">
        <f t="shared" si="8"/>
        <v>150121</v>
      </c>
      <c r="T66" s="182" t="s">
        <v>53</v>
      </c>
      <c r="U66" s="247">
        <f t="shared" si="9"/>
        <v>200160</v>
      </c>
      <c r="V66" s="183" t="s">
        <v>133</v>
      </c>
      <c r="W66" s="156">
        <f t="shared" si="10"/>
        <v>200160</v>
      </c>
    </row>
    <row r="67" spans="1:23" x14ac:dyDescent="0.25">
      <c r="A67" s="27">
        <v>8</v>
      </c>
      <c r="B67" s="247">
        <v>0</v>
      </c>
      <c r="C67" s="182" t="s">
        <v>53</v>
      </c>
      <c r="D67" s="355">
        <f t="shared" si="11"/>
        <v>55720</v>
      </c>
      <c r="E67" s="356"/>
      <c r="F67" s="247">
        <f t="shared" si="2"/>
        <v>55721</v>
      </c>
      <c r="G67" s="182" t="s">
        <v>53</v>
      </c>
      <c r="H67" s="248">
        <f t="shared" si="0"/>
        <v>76894</v>
      </c>
      <c r="I67" s="247">
        <f t="shared" si="1"/>
        <v>76895</v>
      </c>
      <c r="J67" s="182" t="s">
        <v>53</v>
      </c>
      <c r="K67" s="355">
        <f t="shared" si="3"/>
        <v>83580</v>
      </c>
      <c r="L67" s="356"/>
      <c r="M67" s="247">
        <f t="shared" si="4"/>
        <v>83581</v>
      </c>
      <c r="N67" s="182" t="s">
        <v>53</v>
      </c>
      <c r="O67" s="248">
        <f t="shared" si="5"/>
        <v>111440</v>
      </c>
      <c r="P67" s="247">
        <f t="shared" si="6"/>
        <v>111441</v>
      </c>
      <c r="Q67" s="182" t="s">
        <v>53</v>
      </c>
      <c r="R67" s="248">
        <f t="shared" si="7"/>
        <v>167160</v>
      </c>
      <c r="S67" s="247">
        <f t="shared" si="8"/>
        <v>167161</v>
      </c>
      <c r="T67" s="182" t="s">
        <v>53</v>
      </c>
      <c r="U67" s="247">
        <f t="shared" si="9"/>
        <v>222880</v>
      </c>
      <c r="V67" s="183" t="s">
        <v>133</v>
      </c>
      <c r="W67" s="156">
        <f t="shared" si="10"/>
        <v>222880</v>
      </c>
    </row>
    <row r="68" spans="1:23" ht="25" x14ac:dyDescent="0.25">
      <c r="A68" s="28" t="s">
        <v>22</v>
      </c>
      <c r="B68" s="387">
        <f>Eligibility!B75</f>
        <v>5680</v>
      </c>
      <c r="C68" s="388"/>
      <c r="D68" s="388"/>
      <c r="E68" s="389"/>
      <c r="F68" s="420">
        <f>H61-H60</f>
        <v>7838</v>
      </c>
      <c r="G68" s="421"/>
      <c r="H68" s="422"/>
      <c r="I68" s="420">
        <f>K61-K60</f>
        <v>8520</v>
      </c>
      <c r="J68" s="421"/>
      <c r="K68" s="421"/>
      <c r="L68" s="422"/>
      <c r="M68" s="420">
        <f>O61-O60</f>
        <v>11360</v>
      </c>
      <c r="N68" s="421"/>
      <c r="O68" s="422"/>
      <c r="P68" s="420">
        <f>R61-R60</f>
        <v>17040</v>
      </c>
      <c r="Q68" s="421"/>
      <c r="R68" s="422"/>
      <c r="S68" s="420">
        <f>U61-U60</f>
        <v>22720</v>
      </c>
      <c r="T68" s="421"/>
      <c r="U68" s="421"/>
      <c r="V68" s="328">
        <f>S68</f>
        <v>22720</v>
      </c>
      <c r="W68" s="329"/>
    </row>
    <row r="69" spans="1:23" x14ac:dyDescent="0.25">
      <c r="A69" s="127" t="str">
        <f>IF(R5&lt;=8,"Income level for 8+",R5)</f>
        <v>Income level for 8+</v>
      </c>
      <c r="B69" s="181" t="str">
        <f>IF($R$5&gt;8,0,"")</f>
        <v/>
      </c>
      <c r="C69" s="181" t="str">
        <f>IF($R$5&gt;8,"-","")</f>
        <v/>
      </c>
      <c r="D69" s="408" t="str">
        <f>IF($R$5&gt;8,D67+(B68*($R$5-8)),"")</f>
        <v/>
      </c>
      <c r="E69" s="409"/>
      <c r="F69" s="249" t="str">
        <f>IF($R$5&gt;8,D69+1,"")</f>
        <v/>
      </c>
      <c r="G69" s="181" t="str">
        <f>IF($R$5&gt;8,"-","")</f>
        <v/>
      </c>
      <c r="H69" s="250" t="str">
        <f>IF($R$5&gt;8,H67+(F68*($R$5-8)),"")</f>
        <v/>
      </c>
      <c r="I69" s="249" t="str">
        <f>IF($R$5&gt;8,H69+1,"")</f>
        <v/>
      </c>
      <c r="J69" s="181" t="str">
        <f>IF($R$5&gt;8,"-","")</f>
        <v/>
      </c>
      <c r="K69" s="408" t="str">
        <f>IF($R$5&gt;8,K67+(I68*($R$5-8)),"")</f>
        <v/>
      </c>
      <c r="L69" s="409"/>
      <c r="M69" s="249" t="str">
        <f>IF($R$5&gt;8,K69+1,"")</f>
        <v/>
      </c>
      <c r="N69" s="181" t="str">
        <f>IF($R$5&gt;8,"-","")</f>
        <v/>
      </c>
      <c r="O69" s="249" t="str">
        <f>IF($R$5&gt;8,O67+(M68*($R$5-8)),"")</f>
        <v/>
      </c>
      <c r="P69" s="126" t="str">
        <f>IF($R$5&gt;8,O69+1,"")</f>
        <v/>
      </c>
      <c r="Q69" s="181" t="str">
        <f>IF($R$5&gt;8,"-","")</f>
        <v/>
      </c>
      <c r="R69" s="249" t="str">
        <f>IF($R$5&gt;8,R67+(P68*($R$5-8)),"")</f>
        <v/>
      </c>
      <c r="S69" s="126" t="str">
        <f>IF($R$5&gt;8,R69+1,"")</f>
        <v/>
      </c>
      <c r="T69" s="181" t="str">
        <f>IF($R$5&gt;8,"-","")</f>
        <v/>
      </c>
      <c r="U69" s="249" t="str">
        <f>IF($R$5&gt;8,U67+(S68*($R$5-8)),"")</f>
        <v/>
      </c>
      <c r="V69" s="183" t="str">
        <f>IF(R5&gt;8,"&gt;","")</f>
        <v/>
      </c>
      <c r="W69" s="156" t="str">
        <f t="shared" si="10"/>
        <v/>
      </c>
    </row>
    <row r="70" spans="1:23" ht="13" thickBot="1" x14ac:dyDescent="0.3">
      <c r="A70" s="25"/>
      <c r="B70" s="62"/>
      <c r="C70" s="62"/>
      <c r="D70" s="62"/>
      <c r="E70" s="29"/>
      <c r="F70" s="62"/>
      <c r="G70" s="62"/>
      <c r="H70" s="29"/>
      <c r="I70" s="62"/>
      <c r="J70" s="62"/>
      <c r="K70" s="62"/>
      <c r="L70" s="29"/>
      <c r="M70" s="62"/>
      <c r="N70" s="62"/>
      <c r="O70" s="29"/>
      <c r="P70" s="62"/>
      <c r="Q70" s="62"/>
      <c r="R70" s="29"/>
      <c r="S70" s="62"/>
      <c r="T70" s="62"/>
      <c r="U70" s="62"/>
      <c r="V70" s="155"/>
      <c r="W70" s="22"/>
    </row>
    <row r="71" spans="1:23" ht="13" thickTop="1" x14ac:dyDescent="0.25"/>
    <row r="72" spans="1:23" x14ac:dyDescent="0.25">
      <c r="A72" s="226" t="str">
        <f>Eligibility!A79</f>
        <v>based on 2026 HHS FPL Guidelines (https://aspe.hhs.gov/topics/poverty-economic-mobility/poverty-guidelines)</v>
      </c>
      <c r="B72" s="6"/>
      <c r="C72" s="6"/>
    </row>
    <row r="73" spans="1:23" x14ac:dyDescent="0.25">
      <c r="A73" s="6"/>
      <c r="B73" s="6"/>
      <c r="C73" s="6"/>
    </row>
    <row r="74" spans="1:23" x14ac:dyDescent="0.25">
      <c r="A74" s="6"/>
      <c r="B74" s="6"/>
      <c r="C74" s="6"/>
    </row>
    <row r="75" spans="1:23" ht="18" thickBot="1" x14ac:dyDescent="0.55000000000000004">
      <c r="A75" s="383"/>
      <c r="B75" s="383"/>
      <c r="C75" s="383"/>
      <c r="D75" s="383"/>
      <c r="E75" s="17"/>
      <c r="F75" s="17"/>
      <c r="G75" s="17"/>
      <c r="H75" s="17"/>
      <c r="I75" s="17"/>
      <c r="J75" s="17"/>
      <c r="K75" s="383"/>
      <c r="L75" s="383"/>
      <c r="M75" s="383"/>
      <c r="N75" s="383"/>
      <c r="O75" s="272"/>
      <c r="U75" s="74" t="str">
        <f>U38</f>
        <v>created 11/12</v>
      </c>
    </row>
    <row r="76" spans="1:23" x14ac:dyDescent="0.25">
      <c r="A76" s="45" t="s">
        <v>38</v>
      </c>
      <c r="B76" s="45"/>
      <c r="C76" s="45"/>
      <c r="D76" s="17"/>
      <c r="E76" s="17"/>
      <c r="F76" s="17"/>
      <c r="G76" s="17"/>
      <c r="K76" s="45" t="s">
        <v>39</v>
      </c>
      <c r="L76" s="17"/>
      <c r="M76" s="17"/>
      <c r="N76" s="17"/>
      <c r="O76" s="17"/>
    </row>
    <row r="89" spans="16:17" x14ac:dyDescent="0.25">
      <c r="P89" s="69"/>
      <c r="Q89" s="69"/>
    </row>
    <row r="90" spans="16:17" x14ac:dyDescent="0.25">
      <c r="P90" s="17"/>
      <c r="Q90" s="17"/>
    </row>
  </sheetData>
  <sheetProtection sheet="1" objects="1" scenarios="1"/>
  <mergeCells count="188">
    <mergeCell ref="O5:Q5"/>
    <mergeCell ref="M68:O68"/>
    <mergeCell ref="P68:R68"/>
    <mergeCell ref="S68:U68"/>
    <mergeCell ref="D69:E69"/>
    <mergeCell ref="K69:L69"/>
    <mergeCell ref="D63:E63"/>
    <mergeCell ref="K63:L63"/>
    <mergeCell ref="D64:E64"/>
    <mergeCell ref="K64:L64"/>
    <mergeCell ref="D65:E65"/>
    <mergeCell ref="K65:L65"/>
    <mergeCell ref="D60:E60"/>
    <mergeCell ref="K60:L60"/>
    <mergeCell ref="D61:E61"/>
    <mergeCell ref="K61:L61"/>
    <mergeCell ref="D62:E62"/>
    <mergeCell ref="K62:L62"/>
    <mergeCell ref="B59:E59"/>
    <mergeCell ref="F59:H59"/>
    <mergeCell ref="I59:L59"/>
    <mergeCell ref="M59:O59"/>
    <mergeCell ref="P59:R59"/>
    <mergeCell ref="S59:U59"/>
    <mergeCell ref="D66:E66"/>
    <mergeCell ref="K66:L66"/>
    <mergeCell ref="D67:E67"/>
    <mergeCell ref="K67:L67"/>
    <mergeCell ref="B68:E68"/>
    <mergeCell ref="F68:H68"/>
    <mergeCell ref="I68:L68"/>
    <mergeCell ref="A75:D75"/>
    <mergeCell ref="K75:N75"/>
    <mergeCell ref="M58:O58"/>
    <mergeCell ref="P58:R58"/>
    <mergeCell ref="S58:U58"/>
    <mergeCell ref="B57:E57"/>
    <mergeCell ref="F57:H57"/>
    <mergeCell ref="I57:L57"/>
    <mergeCell ref="M57:O57"/>
    <mergeCell ref="P57:R57"/>
    <mergeCell ref="S57:U57"/>
    <mergeCell ref="H41:K41"/>
    <mergeCell ref="B58:E58"/>
    <mergeCell ref="F58:H58"/>
    <mergeCell ref="I58:L58"/>
    <mergeCell ref="F56:H56"/>
    <mergeCell ref="I56:L56"/>
    <mergeCell ref="B46:D46"/>
    <mergeCell ref="F46:H46"/>
    <mergeCell ref="B48:D48"/>
    <mergeCell ref="A41:D41"/>
    <mergeCell ref="I46:K46"/>
    <mergeCell ref="P22:R22"/>
    <mergeCell ref="K37:P37"/>
    <mergeCell ref="U40:V40"/>
    <mergeCell ref="M56:O56"/>
    <mergeCell ref="P56:R56"/>
    <mergeCell ref="S56:U56"/>
    <mergeCell ref="B56:E56"/>
    <mergeCell ref="S54:U54"/>
    <mergeCell ref="B54:E54"/>
    <mergeCell ref="F55:H55"/>
    <mergeCell ref="I55:L55"/>
    <mergeCell ref="M55:O55"/>
    <mergeCell ref="P55:R55"/>
    <mergeCell ref="S55:U55"/>
    <mergeCell ref="B55:E55"/>
    <mergeCell ref="P54:R54"/>
    <mergeCell ref="I54:L54"/>
    <mergeCell ref="M54:O54"/>
    <mergeCell ref="B50:D50"/>
    <mergeCell ref="F50:H50"/>
    <mergeCell ref="I50:K50"/>
    <mergeCell ref="B52:D52"/>
    <mergeCell ref="F52:H52"/>
    <mergeCell ref="I52:K52"/>
    <mergeCell ref="U41:V41"/>
    <mergeCell ref="B20:E20"/>
    <mergeCell ref="F20:H20"/>
    <mergeCell ref="I20:L20"/>
    <mergeCell ref="M20:O20"/>
    <mergeCell ref="P20:R20"/>
    <mergeCell ref="S20:U20"/>
    <mergeCell ref="B19:E19"/>
    <mergeCell ref="F19:H19"/>
    <mergeCell ref="I19:L19"/>
    <mergeCell ref="M19:O19"/>
    <mergeCell ref="P19:R19"/>
    <mergeCell ref="S19:U19"/>
    <mergeCell ref="S22:U22"/>
    <mergeCell ref="B24:E24"/>
    <mergeCell ref="I24:K24"/>
    <mergeCell ref="A37:D37"/>
    <mergeCell ref="A40:D40"/>
    <mergeCell ref="H40:K40"/>
    <mergeCell ref="M24:P24"/>
    <mergeCell ref="B22:E22"/>
    <mergeCell ref="F22:H22"/>
    <mergeCell ref="I22:L22"/>
    <mergeCell ref="M22:O22"/>
    <mergeCell ref="B10:E10"/>
    <mergeCell ref="F10:H10"/>
    <mergeCell ref="I10:L10"/>
    <mergeCell ref="M10:O10"/>
    <mergeCell ref="P10:R10"/>
    <mergeCell ref="B18:E18"/>
    <mergeCell ref="F18:H18"/>
    <mergeCell ref="I18:L18"/>
    <mergeCell ref="M18:O18"/>
    <mergeCell ref="P18:R18"/>
    <mergeCell ref="B12:E12"/>
    <mergeCell ref="F12:H12"/>
    <mergeCell ref="I12:L12"/>
    <mergeCell ref="M12:O12"/>
    <mergeCell ref="P12:R12"/>
    <mergeCell ref="B17:E17"/>
    <mergeCell ref="F17:H17"/>
    <mergeCell ref="I17:L17"/>
    <mergeCell ref="M17:O17"/>
    <mergeCell ref="P17:R17"/>
    <mergeCell ref="B16:E16"/>
    <mergeCell ref="F16:H16"/>
    <mergeCell ref="I16:L16"/>
    <mergeCell ref="M16:O16"/>
    <mergeCell ref="B11:E11"/>
    <mergeCell ref="F11:H11"/>
    <mergeCell ref="I11:L11"/>
    <mergeCell ref="M11:O11"/>
    <mergeCell ref="P11:R11"/>
    <mergeCell ref="F15:H15"/>
    <mergeCell ref="I15:L15"/>
    <mergeCell ref="M15:O15"/>
    <mergeCell ref="P15:R15"/>
    <mergeCell ref="B13:E13"/>
    <mergeCell ref="F13:H13"/>
    <mergeCell ref="I13:L13"/>
    <mergeCell ref="M13:O13"/>
    <mergeCell ref="P13:R13"/>
    <mergeCell ref="B14:E14"/>
    <mergeCell ref="F14:H14"/>
    <mergeCell ref="I14:L14"/>
    <mergeCell ref="M14:O14"/>
    <mergeCell ref="P14:R14"/>
    <mergeCell ref="F9:H9"/>
    <mergeCell ref="I9:L9"/>
    <mergeCell ref="M9:O9"/>
    <mergeCell ref="P9:R9"/>
    <mergeCell ref="S9:U9"/>
    <mergeCell ref="F7:H8"/>
    <mergeCell ref="I7:L8"/>
    <mergeCell ref="M7:O8"/>
    <mergeCell ref="P7:R8"/>
    <mergeCell ref="S7:U7"/>
    <mergeCell ref="S8:U8"/>
    <mergeCell ref="S12:U12"/>
    <mergeCell ref="S15:U15"/>
    <mergeCell ref="S14:U14"/>
    <mergeCell ref="S13:U13"/>
    <mergeCell ref="S11:U11"/>
    <mergeCell ref="S18:U18"/>
    <mergeCell ref="S16:U16"/>
    <mergeCell ref="S17:U17"/>
    <mergeCell ref="P16:R16"/>
    <mergeCell ref="M50:P50"/>
    <mergeCell ref="Q50:S50"/>
    <mergeCell ref="B9:E9"/>
    <mergeCell ref="S10:U10"/>
    <mergeCell ref="O2:P2"/>
    <mergeCell ref="O1:P1"/>
    <mergeCell ref="O40:P40"/>
    <mergeCell ref="O41:P41"/>
    <mergeCell ref="V68:W68"/>
    <mergeCell ref="B15:E15"/>
    <mergeCell ref="A1:D1"/>
    <mergeCell ref="H1:K1"/>
    <mergeCell ref="S1:U1"/>
    <mergeCell ref="A2:D2"/>
    <mergeCell ref="H2:K2"/>
    <mergeCell ref="S2:U2"/>
    <mergeCell ref="B7:E8"/>
    <mergeCell ref="F48:H48"/>
    <mergeCell ref="I48:K48"/>
    <mergeCell ref="V54:W54"/>
    <mergeCell ref="V55:W55"/>
    <mergeCell ref="V56:W56"/>
    <mergeCell ref="V58:W58"/>
    <mergeCell ref="F54:H54"/>
  </mergeCells>
  <phoneticPr fontId="0" type="noConversion"/>
  <conditionalFormatting sqref="B60">
    <cfRule type="expression" dxfId="189" priority="1" stopIfTrue="1">
      <formula>AND(B52="Cat 1",R5=1)</formula>
    </cfRule>
  </conditionalFormatting>
  <conditionalFormatting sqref="C60">
    <cfRule type="expression" dxfId="188" priority="2" stopIfTrue="1">
      <formula>AND(B52="Cat 1",R5=1)</formula>
    </cfRule>
  </conditionalFormatting>
  <conditionalFormatting sqref="D60:E60">
    <cfRule type="expression" dxfId="187" priority="3" stopIfTrue="1">
      <formula>AND(B52="Cat 1",R5=1)</formula>
    </cfRule>
  </conditionalFormatting>
  <conditionalFormatting sqref="B61">
    <cfRule type="expression" dxfId="186" priority="4" stopIfTrue="1">
      <formula>AND(B52="Cat 1",R5=2)</formula>
    </cfRule>
  </conditionalFormatting>
  <conditionalFormatting sqref="C61">
    <cfRule type="expression" dxfId="185" priority="5" stopIfTrue="1">
      <formula>AND(B52="Cat 1",R5=2)</formula>
    </cfRule>
  </conditionalFormatting>
  <conditionalFormatting sqref="D61:E61">
    <cfRule type="expression" dxfId="184" priority="6" stopIfTrue="1">
      <formula>AND(B52="Cat 1",R5=2)</formula>
    </cfRule>
  </conditionalFormatting>
  <conditionalFormatting sqref="B62">
    <cfRule type="expression" dxfId="183" priority="7" stopIfTrue="1">
      <formula>AND(B52="Cat 1",R5=3)</formula>
    </cfRule>
  </conditionalFormatting>
  <conditionalFormatting sqref="C62">
    <cfRule type="expression" dxfId="182" priority="8" stopIfTrue="1">
      <formula>AND(B52="Cat 1",R5=3)</formula>
    </cfRule>
  </conditionalFormatting>
  <conditionalFormatting sqref="D62:E62">
    <cfRule type="expression" dxfId="181" priority="9" stopIfTrue="1">
      <formula>AND(B52="Cat 1",R5=3)</formula>
    </cfRule>
  </conditionalFormatting>
  <conditionalFormatting sqref="B63">
    <cfRule type="expression" dxfId="180" priority="10" stopIfTrue="1">
      <formula>AND(B52="Cat 1",R5=4)</formula>
    </cfRule>
  </conditionalFormatting>
  <conditionalFormatting sqref="C63">
    <cfRule type="expression" dxfId="179" priority="11" stopIfTrue="1">
      <formula>AND(B52="Cat 1",R5=4)</formula>
    </cfRule>
  </conditionalFormatting>
  <conditionalFormatting sqref="D63:E63">
    <cfRule type="expression" dxfId="178" priority="12" stopIfTrue="1">
      <formula>AND(B52="Cat 1",R5=4)</formula>
    </cfRule>
  </conditionalFormatting>
  <conditionalFormatting sqref="B64">
    <cfRule type="expression" dxfId="177" priority="13" stopIfTrue="1">
      <formula>AND(B52="Cat 1",R5=5)</formula>
    </cfRule>
  </conditionalFormatting>
  <conditionalFormatting sqref="C64">
    <cfRule type="expression" dxfId="176" priority="14" stopIfTrue="1">
      <formula>AND(B52="Cat 1",R5=5)</formula>
    </cfRule>
  </conditionalFormatting>
  <conditionalFormatting sqref="D64:E64">
    <cfRule type="expression" dxfId="175" priority="15" stopIfTrue="1">
      <formula>AND(B52="Cat 1",R5=5)</formula>
    </cfRule>
  </conditionalFormatting>
  <conditionalFormatting sqref="B65">
    <cfRule type="expression" dxfId="174" priority="16" stopIfTrue="1">
      <formula>AND(B52="Cat 1",R5=6)</formula>
    </cfRule>
  </conditionalFormatting>
  <conditionalFormatting sqref="C65">
    <cfRule type="expression" dxfId="173" priority="17" stopIfTrue="1">
      <formula>AND(B52="Cat 1",R5=6)</formula>
    </cfRule>
  </conditionalFormatting>
  <conditionalFormatting sqref="D65:E65">
    <cfRule type="expression" dxfId="172" priority="18" stopIfTrue="1">
      <formula>AND(B52="Cat 1",R5=6)</formula>
    </cfRule>
  </conditionalFormatting>
  <conditionalFormatting sqref="B66">
    <cfRule type="expression" dxfId="171" priority="19" stopIfTrue="1">
      <formula>AND(B52="Cat 1",R5=7)</formula>
    </cfRule>
  </conditionalFormatting>
  <conditionalFormatting sqref="C66">
    <cfRule type="expression" dxfId="170" priority="20" stopIfTrue="1">
      <formula>AND(B52="Cat 1",R5=7)</formula>
    </cfRule>
  </conditionalFormatting>
  <conditionalFormatting sqref="D66:E66">
    <cfRule type="expression" dxfId="169" priority="21" stopIfTrue="1">
      <formula>AND(B52="Cat 1",R5=7)</formula>
    </cfRule>
  </conditionalFormatting>
  <conditionalFormatting sqref="B67">
    <cfRule type="expression" dxfId="168" priority="22" stopIfTrue="1">
      <formula>AND(B52="Cat 1",R5=8)</formula>
    </cfRule>
  </conditionalFormatting>
  <conditionalFormatting sqref="C67">
    <cfRule type="expression" dxfId="167" priority="23" stopIfTrue="1">
      <formula>AND(B52="Cat 1",R5=8)</formula>
    </cfRule>
  </conditionalFormatting>
  <conditionalFormatting sqref="D67:E67">
    <cfRule type="expression" dxfId="166" priority="24" stopIfTrue="1">
      <formula>AND(B52="Cat 1",R5=8)</formula>
    </cfRule>
  </conditionalFormatting>
  <conditionalFormatting sqref="F60">
    <cfRule type="expression" dxfId="165" priority="25" stopIfTrue="1">
      <formula>AND(B52="Cat 2",R5=1)</formula>
    </cfRule>
  </conditionalFormatting>
  <conditionalFormatting sqref="G60">
    <cfRule type="expression" dxfId="164" priority="26" stopIfTrue="1">
      <formula>AND(B52="Cat 2",R5=1)</formula>
    </cfRule>
  </conditionalFormatting>
  <conditionalFormatting sqref="H60">
    <cfRule type="expression" dxfId="163" priority="27" stopIfTrue="1">
      <formula>AND(B52="Cat 2",R5=1)</formula>
    </cfRule>
  </conditionalFormatting>
  <conditionalFormatting sqref="F61">
    <cfRule type="expression" dxfId="162" priority="28" stopIfTrue="1">
      <formula>AND(B52="Cat 2",R5=2)</formula>
    </cfRule>
  </conditionalFormatting>
  <conditionalFormatting sqref="G61">
    <cfRule type="expression" dxfId="161" priority="29" stopIfTrue="1">
      <formula>AND(B52="Cat 2",R5=2)</formula>
    </cfRule>
  </conditionalFormatting>
  <conditionalFormatting sqref="H61">
    <cfRule type="expression" dxfId="160" priority="30" stopIfTrue="1">
      <formula>AND(B52="Cat 2",R5=2)</formula>
    </cfRule>
  </conditionalFormatting>
  <conditionalFormatting sqref="F62">
    <cfRule type="expression" dxfId="159" priority="31" stopIfTrue="1">
      <formula>AND(B52="Cat 2",R5=3)</formula>
    </cfRule>
  </conditionalFormatting>
  <conditionalFormatting sqref="G62">
    <cfRule type="expression" dxfId="158" priority="32" stopIfTrue="1">
      <formula>AND(B52="Cat 2",R5=3)</formula>
    </cfRule>
  </conditionalFormatting>
  <conditionalFormatting sqref="H62">
    <cfRule type="expression" dxfId="157" priority="33" stopIfTrue="1">
      <formula>AND(B52="Cat 2",R5=3)</formula>
    </cfRule>
  </conditionalFormatting>
  <conditionalFormatting sqref="F63">
    <cfRule type="expression" dxfId="156" priority="34" stopIfTrue="1">
      <formula>AND(B52="Cat 2",R5=4)</formula>
    </cfRule>
  </conditionalFormatting>
  <conditionalFormatting sqref="G63">
    <cfRule type="expression" dxfId="155" priority="35" stopIfTrue="1">
      <formula>AND(B52="Cat 2",R5=4)</formula>
    </cfRule>
  </conditionalFormatting>
  <conditionalFormatting sqref="H63">
    <cfRule type="expression" dxfId="154" priority="36" stopIfTrue="1">
      <formula>AND(B52="Cat 2",R5=4)</formula>
    </cfRule>
  </conditionalFormatting>
  <conditionalFormatting sqref="F64">
    <cfRule type="expression" dxfId="153" priority="37" stopIfTrue="1">
      <formula>AND(B52="Cat 2",R5=5)</formula>
    </cfRule>
  </conditionalFormatting>
  <conditionalFormatting sqref="G64">
    <cfRule type="expression" dxfId="152" priority="38" stopIfTrue="1">
      <formula>AND(B52="Cat 2",R5=5)</formula>
    </cfRule>
  </conditionalFormatting>
  <conditionalFormatting sqref="H64">
    <cfRule type="expression" dxfId="151" priority="39" stopIfTrue="1">
      <formula>AND(B52="Cat 2",R5=5)</formula>
    </cfRule>
  </conditionalFormatting>
  <conditionalFormatting sqref="F65">
    <cfRule type="expression" dxfId="150" priority="40" stopIfTrue="1">
      <formula>AND(B52="Cat 2",R5=6)</formula>
    </cfRule>
  </conditionalFormatting>
  <conditionalFormatting sqref="G65">
    <cfRule type="expression" dxfId="149" priority="41" stopIfTrue="1">
      <formula>AND(B52="Cat 2",R5=6)</formula>
    </cfRule>
  </conditionalFormatting>
  <conditionalFormatting sqref="H65">
    <cfRule type="expression" dxfId="148" priority="42" stopIfTrue="1">
      <formula>AND(B52="Cat 2",R5=6)</formula>
    </cfRule>
  </conditionalFormatting>
  <conditionalFormatting sqref="F66">
    <cfRule type="expression" dxfId="147" priority="43" stopIfTrue="1">
      <formula>AND(B52="Cat 2",R5=7)</formula>
    </cfRule>
  </conditionalFormatting>
  <conditionalFormatting sqref="G66">
    <cfRule type="expression" dxfId="146" priority="44" stopIfTrue="1">
      <formula>AND(B52="Cat 2",R5=7)</formula>
    </cfRule>
  </conditionalFormatting>
  <conditionalFormatting sqref="H66">
    <cfRule type="expression" dxfId="145" priority="45" stopIfTrue="1">
      <formula>AND(B52="Cat 2",R5=7)</formula>
    </cfRule>
  </conditionalFormatting>
  <conditionalFormatting sqref="F67">
    <cfRule type="expression" dxfId="144" priority="46" stopIfTrue="1">
      <formula>AND(B52="Cat 2",R5=8)</formula>
    </cfRule>
  </conditionalFormatting>
  <conditionalFormatting sqref="G67">
    <cfRule type="expression" dxfId="143" priority="47" stopIfTrue="1">
      <formula>AND(B52="Cat 2",R5=8)</formula>
    </cfRule>
  </conditionalFormatting>
  <conditionalFormatting sqref="H67">
    <cfRule type="expression" dxfId="142" priority="48" stopIfTrue="1">
      <formula>AND(B52="Cat 2",R5=8)</formula>
    </cfRule>
  </conditionalFormatting>
  <conditionalFormatting sqref="I60">
    <cfRule type="expression" dxfId="141" priority="49" stopIfTrue="1">
      <formula>AND(B52="Cat 3",R5=1)</formula>
    </cfRule>
  </conditionalFormatting>
  <conditionalFormatting sqref="J60">
    <cfRule type="expression" dxfId="140" priority="50" stopIfTrue="1">
      <formula>AND(B52="Cat 3",R5=1)</formula>
    </cfRule>
  </conditionalFormatting>
  <conditionalFormatting sqref="K60:L60">
    <cfRule type="expression" dxfId="139" priority="51" stopIfTrue="1">
      <formula>AND(B52="Cat 3",R5=1)</formula>
    </cfRule>
  </conditionalFormatting>
  <conditionalFormatting sqref="M60">
    <cfRule type="expression" dxfId="138" priority="52" stopIfTrue="1">
      <formula>AND(B52="Cat 4",R5=1)</formula>
    </cfRule>
  </conditionalFormatting>
  <conditionalFormatting sqref="N60">
    <cfRule type="expression" dxfId="137" priority="53" stopIfTrue="1">
      <formula>AND(B52="Cat 4",R5=1)</formula>
    </cfRule>
  </conditionalFormatting>
  <conditionalFormatting sqref="O60">
    <cfRule type="expression" dxfId="136" priority="54" stopIfTrue="1">
      <formula>AND(B52="Cat 4",R5=1)</formula>
    </cfRule>
  </conditionalFormatting>
  <conditionalFormatting sqref="P60">
    <cfRule type="expression" dxfId="135" priority="55" stopIfTrue="1">
      <formula>AND(B52="Cat 5",R5=1)</formula>
    </cfRule>
  </conditionalFormatting>
  <conditionalFormatting sqref="Q60">
    <cfRule type="expression" dxfId="134" priority="56" stopIfTrue="1">
      <formula>AND(B52="Cat 5",R5=1)</formula>
    </cfRule>
  </conditionalFormatting>
  <conditionalFormatting sqref="R60">
    <cfRule type="expression" dxfId="133" priority="57" stopIfTrue="1">
      <formula>AND(B52="Cat 5",R5=1)</formula>
    </cfRule>
  </conditionalFormatting>
  <conditionalFormatting sqref="S60">
    <cfRule type="expression" dxfId="132" priority="58" stopIfTrue="1">
      <formula>AND(B52="Cat 6",R5=1)</formula>
    </cfRule>
  </conditionalFormatting>
  <conditionalFormatting sqref="T60">
    <cfRule type="expression" dxfId="131" priority="59" stopIfTrue="1">
      <formula>AND(B52="Cat 6",R5=1)</formula>
    </cfRule>
  </conditionalFormatting>
  <conditionalFormatting sqref="U60">
    <cfRule type="expression" dxfId="130" priority="60" stopIfTrue="1">
      <formula>AND(B52="Cat 6",R5=1)</formula>
    </cfRule>
  </conditionalFormatting>
  <conditionalFormatting sqref="V60">
    <cfRule type="expression" dxfId="129" priority="61" stopIfTrue="1">
      <formula>AND(B52="N/A",R5=1)</formula>
    </cfRule>
  </conditionalFormatting>
  <conditionalFormatting sqref="W60">
    <cfRule type="expression" dxfId="128" priority="62" stopIfTrue="1">
      <formula>AND(B52="N/A",R5=1)</formula>
    </cfRule>
  </conditionalFormatting>
  <conditionalFormatting sqref="W61">
    <cfRule type="expression" dxfId="127" priority="63" stopIfTrue="1">
      <formula>AND(B52="N/A",R5=2)</formula>
    </cfRule>
  </conditionalFormatting>
  <conditionalFormatting sqref="V61">
    <cfRule type="expression" dxfId="126" priority="64" stopIfTrue="1">
      <formula>AND(B52="N/A",R5=2)</formula>
    </cfRule>
  </conditionalFormatting>
  <conditionalFormatting sqref="U61">
    <cfRule type="expression" dxfId="125" priority="65" stopIfTrue="1">
      <formula>AND(B52="Cat 6",R5=2)</formula>
    </cfRule>
  </conditionalFormatting>
  <conditionalFormatting sqref="T61">
    <cfRule type="expression" dxfId="124" priority="66" stopIfTrue="1">
      <formula>AND(B52="Cat 6",R5=2)</formula>
    </cfRule>
  </conditionalFormatting>
  <conditionalFormatting sqref="S61">
    <cfRule type="expression" dxfId="123" priority="67" stopIfTrue="1">
      <formula>AND(B52="Cat 6",R5=2)</formula>
    </cfRule>
  </conditionalFormatting>
  <conditionalFormatting sqref="R61">
    <cfRule type="expression" dxfId="122" priority="68" stopIfTrue="1">
      <formula>AND(B52="Cat 5",R5=2)</formula>
    </cfRule>
  </conditionalFormatting>
  <conditionalFormatting sqref="Q61">
    <cfRule type="expression" dxfId="121" priority="69" stopIfTrue="1">
      <formula>AND(B52="Cat 5",R5=2)</formula>
    </cfRule>
  </conditionalFormatting>
  <conditionalFormatting sqref="P61">
    <cfRule type="expression" dxfId="120" priority="70" stopIfTrue="1">
      <formula>AND(B52="Cat 5",R5=2)</formula>
    </cfRule>
  </conditionalFormatting>
  <conditionalFormatting sqref="O61">
    <cfRule type="expression" dxfId="119" priority="71" stopIfTrue="1">
      <formula>AND(B52="Cat 4",R5=2)</formula>
    </cfRule>
  </conditionalFormatting>
  <conditionalFormatting sqref="N61">
    <cfRule type="expression" dxfId="118" priority="72" stopIfTrue="1">
      <formula>AND(B52="Cat 4",R5=2)</formula>
    </cfRule>
  </conditionalFormatting>
  <conditionalFormatting sqref="M61">
    <cfRule type="expression" dxfId="117" priority="73" stopIfTrue="1">
      <formula>AND(B52="Cat 4",R5=2)</formula>
    </cfRule>
  </conditionalFormatting>
  <conditionalFormatting sqref="K61:L61">
    <cfRule type="expression" dxfId="116" priority="74" stopIfTrue="1">
      <formula>AND(B52="Cat 3",R5=2)</formula>
    </cfRule>
  </conditionalFormatting>
  <conditionalFormatting sqref="J61">
    <cfRule type="expression" dxfId="115" priority="75" stopIfTrue="1">
      <formula>AND(B52="Cat 3",R5=2)</formula>
    </cfRule>
  </conditionalFormatting>
  <conditionalFormatting sqref="I61">
    <cfRule type="expression" dxfId="114" priority="76" stopIfTrue="1">
      <formula>AND(B52="Cat 3",R5=2)</formula>
    </cfRule>
  </conditionalFormatting>
  <conditionalFormatting sqref="I62">
    <cfRule type="expression" dxfId="113" priority="77" stopIfTrue="1">
      <formula>AND(B52="Cat 3",R5=3)</formula>
    </cfRule>
  </conditionalFormatting>
  <conditionalFormatting sqref="J62">
    <cfRule type="expression" dxfId="112" priority="78" stopIfTrue="1">
      <formula>AND(B52="Cat 3",R5=3)</formula>
    </cfRule>
  </conditionalFormatting>
  <conditionalFormatting sqref="K62:L62">
    <cfRule type="expression" dxfId="111" priority="79" stopIfTrue="1">
      <formula>AND(B52="Cat 3",R5=3)</formula>
    </cfRule>
  </conditionalFormatting>
  <conditionalFormatting sqref="M62">
    <cfRule type="expression" dxfId="110" priority="80" stopIfTrue="1">
      <formula>AND(B52="Cat 4",R5=3)</formula>
    </cfRule>
  </conditionalFormatting>
  <conditionalFormatting sqref="N62">
    <cfRule type="expression" dxfId="109" priority="81" stopIfTrue="1">
      <formula>AND(B52="Cat 4",R5=3)</formula>
    </cfRule>
  </conditionalFormatting>
  <conditionalFormatting sqref="O62">
    <cfRule type="expression" dxfId="108" priority="82" stopIfTrue="1">
      <formula>AND(B52="Cat 4",R5=3)</formula>
    </cfRule>
  </conditionalFormatting>
  <conditionalFormatting sqref="P62">
    <cfRule type="expression" dxfId="107" priority="83" stopIfTrue="1">
      <formula>AND(B52="Cat 5",R5=3)</formula>
    </cfRule>
  </conditionalFormatting>
  <conditionalFormatting sqref="Q62">
    <cfRule type="expression" dxfId="106" priority="84" stopIfTrue="1">
      <formula>AND(B52="Cat 5",R5=3)</formula>
    </cfRule>
  </conditionalFormatting>
  <conditionalFormatting sqref="R62">
    <cfRule type="expression" dxfId="105" priority="85" stopIfTrue="1">
      <formula>AND(B52="Cat 5",R5=3)</formula>
    </cfRule>
  </conditionalFormatting>
  <conditionalFormatting sqref="S62">
    <cfRule type="expression" dxfId="104" priority="86" stopIfTrue="1">
      <formula>AND(B52="Cat 6",R5=3)</formula>
    </cfRule>
  </conditionalFormatting>
  <conditionalFormatting sqref="T62">
    <cfRule type="expression" dxfId="103" priority="87" stopIfTrue="1">
      <formula>AND(B52="Cat 6",R5=3)</formula>
    </cfRule>
  </conditionalFormatting>
  <conditionalFormatting sqref="U62">
    <cfRule type="expression" dxfId="102" priority="88" stopIfTrue="1">
      <formula>AND(B52="Cat 6",R5=3)</formula>
    </cfRule>
  </conditionalFormatting>
  <conditionalFormatting sqref="V62">
    <cfRule type="expression" dxfId="101" priority="89" stopIfTrue="1">
      <formula>AND(B52="N/A",R5=3)</formula>
    </cfRule>
  </conditionalFormatting>
  <conditionalFormatting sqref="W62">
    <cfRule type="expression" dxfId="100" priority="90" stopIfTrue="1">
      <formula>AND(B52="N/A",R5=3)</formula>
    </cfRule>
  </conditionalFormatting>
  <conditionalFormatting sqref="W63">
    <cfRule type="expression" dxfId="99" priority="91" stopIfTrue="1">
      <formula>AND(B52="N/A",R5=4)</formula>
    </cfRule>
  </conditionalFormatting>
  <conditionalFormatting sqref="V63">
    <cfRule type="expression" dxfId="98" priority="92" stopIfTrue="1">
      <formula>AND(B52="N/A",R5=4)</formula>
    </cfRule>
  </conditionalFormatting>
  <conditionalFormatting sqref="U63">
    <cfRule type="expression" dxfId="97" priority="93" stopIfTrue="1">
      <formula>AND(B52="Cat 6",R5=4)</formula>
    </cfRule>
  </conditionalFormatting>
  <conditionalFormatting sqref="T63">
    <cfRule type="expression" dxfId="96" priority="94" stopIfTrue="1">
      <formula>AND(B52="Cat 6",R5=4)</formula>
    </cfRule>
  </conditionalFormatting>
  <conditionalFormatting sqref="S63">
    <cfRule type="expression" dxfId="95" priority="95" stopIfTrue="1">
      <formula>AND(B52="Cat 6",R5=4)</formula>
    </cfRule>
  </conditionalFormatting>
  <conditionalFormatting sqref="R63">
    <cfRule type="expression" dxfId="94" priority="96" stopIfTrue="1">
      <formula>AND(B52="Cat 5",R5=4)</formula>
    </cfRule>
  </conditionalFormatting>
  <conditionalFormatting sqref="Q63">
    <cfRule type="expression" dxfId="93" priority="97" stopIfTrue="1">
      <formula>AND(B52="Cat 5",R5=4)</formula>
    </cfRule>
  </conditionalFormatting>
  <conditionalFormatting sqref="P63">
    <cfRule type="expression" dxfId="92" priority="98" stopIfTrue="1">
      <formula>AND(B52="Cat 5",R5=4)</formula>
    </cfRule>
  </conditionalFormatting>
  <conditionalFormatting sqref="O63">
    <cfRule type="expression" dxfId="91" priority="99" stopIfTrue="1">
      <formula>AND(B52="Cat 4",R5=4)</formula>
    </cfRule>
  </conditionalFormatting>
  <conditionalFormatting sqref="N63">
    <cfRule type="expression" dxfId="90" priority="100" stopIfTrue="1">
      <formula>AND(B52="Cat 4",R5=4)</formula>
    </cfRule>
  </conditionalFormatting>
  <conditionalFormatting sqref="M63">
    <cfRule type="expression" dxfId="89" priority="101" stopIfTrue="1">
      <formula>AND(B52="Cat 4",R5=4)</formula>
    </cfRule>
  </conditionalFormatting>
  <conditionalFormatting sqref="K63:L63">
    <cfRule type="expression" dxfId="88" priority="102" stopIfTrue="1">
      <formula>AND(B52="Cat 3",R5=4)</formula>
    </cfRule>
  </conditionalFormatting>
  <conditionalFormatting sqref="J63">
    <cfRule type="expression" dxfId="87" priority="103" stopIfTrue="1">
      <formula>AND(B52="Cat 3",R5=4)</formula>
    </cfRule>
  </conditionalFormatting>
  <conditionalFormatting sqref="I63">
    <cfRule type="expression" dxfId="86" priority="104" stopIfTrue="1">
      <formula>AND(B52="Cat 3",R5=4)</formula>
    </cfRule>
  </conditionalFormatting>
  <conditionalFormatting sqref="I64">
    <cfRule type="expression" dxfId="85" priority="105" stopIfTrue="1">
      <formula>AND(B52="Cat 3",R5=5)</formula>
    </cfRule>
  </conditionalFormatting>
  <conditionalFormatting sqref="J64">
    <cfRule type="expression" dxfId="84" priority="106" stopIfTrue="1">
      <formula>AND(B52="Cat 3",R5=5)</formula>
    </cfRule>
  </conditionalFormatting>
  <conditionalFormatting sqref="K64:L64">
    <cfRule type="expression" dxfId="83" priority="107" stopIfTrue="1">
      <formula>AND(B52="Cat 3",R5=5)</formula>
    </cfRule>
  </conditionalFormatting>
  <conditionalFormatting sqref="M64">
    <cfRule type="expression" dxfId="82" priority="108" stopIfTrue="1">
      <formula>AND(B52="Cat 4",R5=5)</formula>
    </cfRule>
  </conditionalFormatting>
  <conditionalFormatting sqref="N64">
    <cfRule type="expression" dxfId="81" priority="109" stopIfTrue="1">
      <formula>AND(B52="Cat 4",R5=5)</formula>
    </cfRule>
  </conditionalFormatting>
  <conditionalFormatting sqref="O64">
    <cfRule type="expression" dxfId="80" priority="110" stopIfTrue="1">
      <formula>AND(B52="Cat 4",R5=5)</formula>
    </cfRule>
  </conditionalFormatting>
  <conditionalFormatting sqref="P64">
    <cfRule type="expression" dxfId="79" priority="111" stopIfTrue="1">
      <formula>AND(B52="Cat 5",R5=5)</formula>
    </cfRule>
  </conditionalFormatting>
  <conditionalFormatting sqref="Q64">
    <cfRule type="expression" dxfId="78" priority="112" stopIfTrue="1">
      <formula>AND(B52="Cat 5",R5=5)</formula>
    </cfRule>
  </conditionalFormatting>
  <conditionalFormatting sqref="R64">
    <cfRule type="expression" dxfId="77" priority="113" stopIfTrue="1">
      <formula>AND(B52="Cat 5",R5=5)</formula>
    </cfRule>
  </conditionalFormatting>
  <conditionalFormatting sqref="S64">
    <cfRule type="expression" dxfId="76" priority="114" stopIfTrue="1">
      <formula>AND(B52="Cat 6",R5=5)</formula>
    </cfRule>
  </conditionalFormatting>
  <conditionalFormatting sqref="T64">
    <cfRule type="expression" dxfId="75" priority="115" stopIfTrue="1">
      <formula>AND(B52="Cat 6",R5=5)</formula>
    </cfRule>
  </conditionalFormatting>
  <conditionalFormatting sqref="U64">
    <cfRule type="expression" dxfId="74" priority="116" stopIfTrue="1">
      <formula>AND(B52="Cat 6",R5=5)</formula>
    </cfRule>
  </conditionalFormatting>
  <conditionalFormatting sqref="V64">
    <cfRule type="expression" dxfId="73" priority="117" stopIfTrue="1">
      <formula>AND(B52="N/A",R5=5)</formula>
    </cfRule>
  </conditionalFormatting>
  <conditionalFormatting sqref="W64">
    <cfRule type="expression" dxfId="72" priority="118" stopIfTrue="1">
      <formula>AND(B52="N/A",R5=5)</formula>
    </cfRule>
  </conditionalFormatting>
  <conditionalFormatting sqref="W65">
    <cfRule type="expression" dxfId="71" priority="119" stopIfTrue="1">
      <formula>AND(B52="N/A",R5=6)</formula>
    </cfRule>
  </conditionalFormatting>
  <conditionalFormatting sqref="V65">
    <cfRule type="expression" dxfId="70" priority="120" stopIfTrue="1">
      <formula>AND(B52="N/A",R5=6)</formula>
    </cfRule>
  </conditionalFormatting>
  <conditionalFormatting sqref="U65">
    <cfRule type="expression" dxfId="69" priority="121" stopIfTrue="1">
      <formula>AND(B52="Cat 6",R5=6)</formula>
    </cfRule>
  </conditionalFormatting>
  <conditionalFormatting sqref="T65">
    <cfRule type="expression" dxfId="68" priority="122" stopIfTrue="1">
      <formula>AND(B52="Cat 6",R5=6)</formula>
    </cfRule>
  </conditionalFormatting>
  <conditionalFormatting sqref="S65">
    <cfRule type="expression" dxfId="67" priority="123" stopIfTrue="1">
      <formula>AND(B52="Cat 6",R5=6)</formula>
    </cfRule>
  </conditionalFormatting>
  <conditionalFormatting sqref="R65">
    <cfRule type="expression" dxfId="66" priority="124" stopIfTrue="1">
      <formula>AND(B52="Cat 5",R5=6)</formula>
    </cfRule>
  </conditionalFormatting>
  <conditionalFormatting sqref="Q65">
    <cfRule type="expression" dxfId="65" priority="125" stopIfTrue="1">
      <formula>AND(B52="Cat 5",R5=6)</formula>
    </cfRule>
  </conditionalFormatting>
  <conditionalFormatting sqref="P65">
    <cfRule type="expression" dxfId="64" priority="126" stopIfTrue="1">
      <formula>AND(B52="Cat 5",R5=6)</formula>
    </cfRule>
  </conditionalFormatting>
  <conditionalFormatting sqref="O65">
    <cfRule type="expression" dxfId="63" priority="127" stopIfTrue="1">
      <formula>AND(B52="Cat 4",R5=6)</formula>
    </cfRule>
  </conditionalFormatting>
  <conditionalFormatting sqref="N65">
    <cfRule type="expression" dxfId="62" priority="128" stopIfTrue="1">
      <formula>AND(B52="Cat 4",R5=6)</formula>
    </cfRule>
  </conditionalFormatting>
  <conditionalFormatting sqref="M65">
    <cfRule type="expression" dxfId="61" priority="129" stopIfTrue="1">
      <formula>AND(B52="Cat 4",R5=6)</formula>
    </cfRule>
  </conditionalFormatting>
  <conditionalFormatting sqref="K65:L65">
    <cfRule type="expression" dxfId="60" priority="130" stopIfTrue="1">
      <formula>AND(B52="Cat 3",R5=6)</formula>
    </cfRule>
  </conditionalFormatting>
  <conditionalFormatting sqref="J65">
    <cfRule type="expression" dxfId="59" priority="131" stopIfTrue="1">
      <formula>AND(B52="Cat 3",R5=6)</formula>
    </cfRule>
  </conditionalFormatting>
  <conditionalFormatting sqref="I65">
    <cfRule type="expression" dxfId="58" priority="132" stopIfTrue="1">
      <formula>AND(B52="Cat 3",R5=6)</formula>
    </cfRule>
  </conditionalFormatting>
  <conditionalFormatting sqref="I66">
    <cfRule type="expression" dxfId="57" priority="133" stopIfTrue="1">
      <formula>AND(B52="Cat 3",R5=7)</formula>
    </cfRule>
  </conditionalFormatting>
  <conditionalFormatting sqref="J66">
    <cfRule type="expression" dxfId="56" priority="134" stopIfTrue="1">
      <formula>AND(B52="Cat 3",R5=7)</formula>
    </cfRule>
  </conditionalFormatting>
  <conditionalFormatting sqref="K66:L66">
    <cfRule type="expression" dxfId="55" priority="135" stopIfTrue="1">
      <formula>AND(B52="Cat 3",R5=7)</formula>
    </cfRule>
  </conditionalFormatting>
  <conditionalFormatting sqref="M66">
    <cfRule type="expression" dxfId="54" priority="136" stopIfTrue="1">
      <formula>AND(B52="Cat 4",R5=7)</formula>
    </cfRule>
  </conditionalFormatting>
  <conditionalFormatting sqref="N66">
    <cfRule type="expression" dxfId="53" priority="137" stopIfTrue="1">
      <formula>AND(B52="Cat 4",R5=7)</formula>
    </cfRule>
  </conditionalFormatting>
  <conditionalFormatting sqref="O66">
    <cfRule type="expression" dxfId="52" priority="138" stopIfTrue="1">
      <formula>AND(B52="Cat 4",R5=7)</formula>
    </cfRule>
  </conditionalFormatting>
  <conditionalFormatting sqref="P66">
    <cfRule type="expression" dxfId="51" priority="139" stopIfTrue="1">
      <formula>AND(B52="Cat 5",R5=7)</formula>
    </cfRule>
  </conditionalFormatting>
  <conditionalFormatting sqref="Q66">
    <cfRule type="expression" dxfId="50" priority="140" stopIfTrue="1">
      <formula>AND(B52="Cat 5",R5=7)</formula>
    </cfRule>
  </conditionalFormatting>
  <conditionalFormatting sqref="R66">
    <cfRule type="expression" dxfId="49" priority="141" stopIfTrue="1">
      <formula>AND(B52="Cat 5",R5=7)</formula>
    </cfRule>
  </conditionalFormatting>
  <conditionalFormatting sqref="S66">
    <cfRule type="expression" dxfId="48" priority="142" stopIfTrue="1">
      <formula>AND(B52="Cat 6",R5=7)</formula>
    </cfRule>
  </conditionalFormatting>
  <conditionalFormatting sqref="T66">
    <cfRule type="expression" dxfId="47" priority="143" stopIfTrue="1">
      <formula>AND(B52="Cat 6",R5=7)</formula>
    </cfRule>
  </conditionalFormatting>
  <conditionalFormatting sqref="U66">
    <cfRule type="expression" dxfId="46" priority="144" stopIfTrue="1">
      <formula>AND(B52="Cat 6",R5=7)</formula>
    </cfRule>
  </conditionalFormatting>
  <conditionalFormatting sqref="V66">
    <cfRule type="expression" dxfId="45" priority="145" stopIfTrue="1">
      <formula>AND(B52="N/A",R5=7)</formula>
    </cfRule>
  </conditionalFormatting>
  <conditionalFormatting sqref="W66">
    <cfRule type="expression" dxfId="44" priority="146" stopIfTrue="1">
      <formula>AND(B52="N/A",R5=7)</formula>
    </cfRule>
  </conditionalFormatting>
  <conditionalFormatting sqref="W67">
    <cfRule type="expression" dxfId="43" priority="147" stopIfTrue="1">
      <formula>AND(B52="N/A",R5=8)</formula>
    </cfRule>
  </conditionalFormatting>
  <conditionalFormatting sqref="V67">
    <cfRule type="expression" dxfId="42" priority="148" stopIfTrue="1">
      <formula>AND(B52="N/A",R5=8)</formula>
    </cfRule>
  </conditionalFormatting>
  <conditionalFormatting sqref="U67">
    <cfRule type="expression" dxfId="41" priority="149" stopIfTrue="1">
      <formula>AND(B52="Cat 6",R5=8)</formula>
    </cfRule>
  </conditionalFormatting>
  <conditionalFormatting sqref="T67">
    <cfRule type="expression" dxfId="40" priority="150" stopIfTrue="1">
      <formula>AND(B52="Cat 6",R5=8)</formula>
    </cfRule>
  </conditionalFormatting>
  <conditionalFormatting sqref="S67">
    <cfRule type="expression" dxfId="39" priority="151" stopIfTrue="1">
      <formula>AND(B52="Cat 6",R5=8)</formula>
    </cfRule>
  </conditionalFormatting>
  <conditionalFormatting sqref="R67">
    <cfRule type="expression" dxfId="38" priority="152" stopIfTrue="1">
      <formula>AND(B52="Cat 5",R5=8)</formula>
    </cfRule>
  </conditionalFormatting>
  <conditionalFormatting sqref="Q67">
    <cfRule type="expression" dxfId="37" priority="153" stopIfTrue="1">
      <formula>AND(B52="Cat 5",R5=8)</formula>
    </cfRule>
  </conditionalFormatting>
  <conditionalFormatting sqref="P67">
    <cfRule type="expression" dxfId="36" priority="154" stopIfTrue="1">
      <formula>AND(B52="Cat 5",R5=8)</formula>
    </cfRule>
  </conditionalFormatting>
  <conditionalFormatting sqref="O67">
    <cfRule type="expression" dxfId="35" priority="155" stopIfTrue="1">
      <formula>AND(B52="Cat 4",R5=8)</formula>
    </cfRule>
  </conditionalFormatting>
  <conditionalFormatting sqref="N67">
    <cfRule type="expression" dxfId="34" priority="156" stopIfTrue="1">
      <formula>AND(B52="Cat 4",R5=8)</formula>
    </cfRule>
  </conditionalFormatting>
  <conditionalFormatting sqref="M67">
    <cfRule type="expression" dxfId="33" priority="157" stopIfTrue="1">
      <formula>AND(B52="Cat 4",R5=8)</formula>
    </cfRule>
  </conditionalFormatting>
  <conditionalFormatting sqref="K67:L67">
    <cfRule type="expression" dxfId="32" priority="158" stopIfTrue="1">
      <formula>AND(B52="Cat 3",R5=8)</formula>
    </cfRule>
  </conditionalFormatting>
  <conditionalFormatting sqref="J67">
    <cfRule type="expression" dxfId="31" priority="159" stopIfTrue="1">
      <formula>AND(B52="Cat 3",R5=8)</formula>
    </cfRule>
  </conditionalFormatting>
  <conditionalFormatting sqref="I67">
    <cfRule type="expression" dxfId="30" priority="160" stopIfTrue="1">
      <formula>AND(B52="Cat 3",R5=8)</formula>
    </cfRule>
  </conditionalFormatting>
  <conditionalFormatting sqref="V69">
    <cfRule type="expression" dxfId="29" priority="161" stopIfTrue="1">
      <formula>AND(B52="N/A",R5&gt;8)</formula>
    </cfRule>
  </conditionalFormatting>
  <conditionalFormatting sqref="W69">
    <cfRule type="expression" dxfId="28" priority="162" stopIfTrue="1">
      <formula>AND(B52="N/A",R5&gt;8)</formula>
    </cfRule>
  </conditionalFormatting>
  <conditionalFormatting sqref="B69">
    <cfRule type="expression" dxfId="27" priority="163" stopIfTrue="1">
      <formula>AND(B52="Cat 1",R5&gt;8)</formula>
    </cfRule>
  </conditionalFormatting>
  <conditionalFormatting sqref="C69">
    <cfRule type="expression" dxfId="26" priority="164" stopIfTrue="1">
      <formula>AND(B52="Cat 1",R5&gt;8)</formula>
    </cfRule>
  </conditionalFormatting>
  <conditionalFormatting sqref="D69:E69">
    <cfRule type="expression" dxfId="25" priority="165" stopIfTrue="1">
      <formula>AND(B52="Cat 1",R5&gt;8)</formula>
    </cfRule>
  </conditionalFormatting>
  <conditionalFormatting sqref="F69">
    <cfRule type="expression" dxfId="24" priority="166" stopIfTrue="1">
      <formula>AND(B52="Cat 2",R5&gt;8)</formula>
    </cfRule>
  </conditionalFormatting>
  <conditionalFormatting sqref="G69">
    <cfRule type="expression" dxfId="23" priority="167" stopIfTrue="1">
      <formula>AND(B52="Cat 2",R5&gt;8)</formula>
    </cfRule>
  </conditionalFormatting>
  <conditionalFormatting sqref="H69">
    <cfRule type="expression" dxfId="22" priority="168" stopIfTrue="1">
      <formula>AND(B52="Cat 2",R5&gt;8)</formula>
    </cfRule>
  </conditionalFormatting>
  <conditionalFormatting sqref="I69">
    <cfRule type="expression" dxfId="21" priority="169" stopIfTrue="1">
      <formula>AND(B52="Cat 3",R5&gt;8)</formula>
    </cfRule>
  </conditionalFormatting>
  <conditionalFormatting sqref="J69">
    <cfRule type="expression" dxfId="20" priority="170" stopIfTrue="1">
      <formula>AND(B52="Cat 3",R5&gt;8)</formula>
    </cfRule>
  </conditionalFormatting>
  <conditionalFormatting sqref="K69:L69">
    <cfRule type="expression" dxfId="19" priority="171" stopIfTrue="1">
      <formula>AND(B52="Cat 3",R5&gt;8)</formula>
    </cfRule>
  </conditionalFormatting>
  <conditionalFormatting sqref="M69">
    <cfRule type="expression" dxfId="18" priority="172" stopIfTrue="1">
      <formula>AND(B52="Cat 4",R5&gt;8)</formula>
    </cfRule>
  </conditionalFormatting>
  <conditionalFormatting sqref="N69">
    <cfRule type="expression" dxfId="17" priority="173" stopIfTrue="1">
      <formula>AND(B52="Cat 4",R5&gt;8)</formula>
    </cfRule>
  </conditionalFormatting>
  <conditionalFormatting sqref="O69">
    <cfRule type="expression" dxfId="16" priority="174" stopIfTrue="1">
      <formula>AND(B52="Cat 4",R5&gt;8)</formula>
    </cfRule>
  </conditionalFormatting>
  <conditionalFormatting sqref="P69">
    <cfRule type="expression" dxfId="15" priority="175" stopIfTrue="1">
      <formula>AND(B52="Cat 5",R5&gt;8)</formula>
    </cfRule>
  </conditionalFormatting>
  <conditionalFormatting sqref="Q69">
    <cfRule type="expression" dxfId="14" priority="176" stopIfTrue="1">
      <formula>AND(B52="Cat 5",R5&gt;8)</formula>
    </cfRule>
  </conditionalFormatting>
  <conditionalFormatting sqref="R69">
    <cfRule type="expression" dxfId="13" priority="177" stopIfTrue="1">
      <formula>AND(B52="Cat 5",R5&gt;8)</formula>
    </cfRule>
  </conditionalFormatting>
  <conditionalFormatting sqref="S69">
    <cfRule type="expression" dxfId="12" priority="178" stopIfTrue="1">
      <formula>AND(B52="Cat 6",R5&gt;8)</formula>
    </cfRule>
  </conditionalFormatting>
  <conditionalFormatting sqref="T69">
    <cfRule type="expression" dxfId="11" priority="179" stopIfTrue="1">
      <formula>AND(B52="Cat 6",R5&gt;8)</formula>
    </cfRule>
  </conditionalFormatting>
  <conditionalFormatting sqref="U69">
    <cfRule type="expression" dxfId="10" priority="180" stopIfTrue="1">
      <formula>AND(B52="Cat 6",R5&gt;8)</formula>
    </cfRule>
  </conditionalFormatting>
  <pageMargins left="0.5" right="0.5" top="0.5" bottom="0.5" header="0.3" footer="0.3"/>
  <pageSetup scale="77" orientation="landscape" r:id="rId1"/>
  <headerFooter alignWithMargins="0">
    <oddHeader>&amp;L&amp;F&amp;R&amp;A</oddHeader>
  </headerFooter>
  <rowBreaks count="1" manualBreakCount="1">
    <brk id="38" max="16383" man="1"/>
  </rowBreaks>
  <colBreaks count="1" manualBreakCount="1">
    <brk id="2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T49"/>
  <sheetViews>
    <sheetView zoomScaleNormal="100" workbookViewId="0">
      <selection activeCell="G7" sqref="G7:H7"/>
    </sheetView>
  </sheetViews>
  <sheetFormatPr defaultRowHeight="12.5" x14ac:dyDescent="0.25"/>
  <cols>
    <col min="1" max="1" width="9.36328125" customWidth="1"/>
    <col min="3" max="3" width="4.54296875" customWidth="1"/>
    <col min="4" max="4" width="7.08984375" customWidth="1"/>
    <col min="5" max="5" width="11.90625" customWidth="1"/>
    <col min="6" max="6" width="2.54296875" customWidth="1"/>
    <col min="7" max="7" width="12.54296875" customWidth="1"/>
    <col min="8" max="8" width="11.54296875" customWidth="1"/>
    <col min="9" max="9" width="19" customWidth="1"/>
    <col min="11" max="11" width="9.08984375" customWidth="1"/>
    <col min="12" max="13" width="9.08984375" hidden="1" customWidth="1"/>
    <col min="14" max="14" width="9.08984375" customWidth="1"/>
  </cols>
  <sheetData>
    <row r="1" spans="1:20" ht="29.25" customHeight="1" thickBot="1" x14ac:dyDescent="0.3">
      <c r="A1" s="446" t="str">
        <f>IF(AND(Eligibility!A1=0,EligReCert!A1=0,Eligibility!H1=0,EligReCert!H1=0),"No Name Please Fill Out Annual or Monthly Tab",IF(AND(Eligibility!A1&gt;0,EligReCert!A1=0),Eligibility!A1,IF(AND(Eligibility!A1=0,EligReCert!A1&gt;0),EligReCert!A1,IF(Eligibility!A1=EligReCert!A1,Eligibility!A1,"Different Names on Annual and Monthly Tabs!"))))</f>
        <v>No Name Please Fill Out Eligibility Tab</v>
      </c>
      <c r="B1" s="467"/>
      <c r="C1" s="467"/>
      <c r="E1" s="466" t="str">
        <f>IF(AND(Eligibility!H1=0,EligReCert!H1=0,Eligibility!A1=0,EligReCert!A1=0),"NO Case Number Please Fill Out Annual or Monthly Tab",IF(AND(Eligibility!H1&gt;0,EligReCert!H1=0),Eligibility!H1,IF(AND(Eligibility!H1=0,EligReCert!H1&gt;0),EligReCert!H1,IF(Eligibility!H1=EligReCert!H1,Eligibility!H1,"Different Case # on Annual and Monthly Tabs!"))))</f>
        <v>No Case # Please Fill Out Eligibility Tab</v>
      </c>
      <c r="F1" s="466"/>
      <c r="G1" s="466"/>
      <c r="H1" s="1"/>
      <c r="I1" s="128">
        <f ca="1">Eligibility!S1</f>
        <v>46038</v>
      </c>
    </row>
    <row r="2" spans="1:20" ht="13" thickTop="1" x14ac:dyDescent="0.25">
      <c r="A2" s="106" t="s">
        <v>16</v>
      </c>
      <c r="B2" s="104"/>
      <c r="C2" s="105"/>
      <c r="E2" s="375" t="s">
        <v>17</v>
      </c>
      <c r="F2" s="444"/>
      <c r="G2" s="444"/>
      <c r="H2" s="1"/>
      <c r="I2" s="90" t="s">
        <v>90</v>
      </c>
    </row>
    <row r="3" spans="1:20" ht="17.5" x14ac:dyDescent="0.35">
      <c r="A3" s="129" t="str">
        <f>IF(AND(Eligibility!A1=0,EligReCert!A1=0,Eligibility!H1=0,EligReCert!H1=0),"No Name or Case # Please Fill Out Annual or Monthly Tab",IF(OR(Eligibility!A1=EligReCert!A1,Eligibility!H1=EligReCert!H1),"",IF(OR(AND(NOT(Eligibility!A1=0),NOT(Eligibility!H1=0)),AND(NOT(EligReCert!A1=0),NOT(EligReCert!H1=0))),"","Different Names or Case #'s on Annual and Monthly Tabs!")))</f>
        <v/>
      </c>
      <c r="B3" s="1"/>
      <c r="C3" s="1"/>
      <c r="D3" s="1"/>
      <c r="E3" s="1"/>
      <c r="F3" s="1"/>
      <c r="G3" s="1"/>
      <c r="H3" s="1"/>
      <c r="I3" s="1"/>
    </row>
    <row r="4" spans="1:20" ht="23" x14ac:dyDescent="0.5">
      <c r="A4" s="149" t="s">
        <v>129</v>
      </c>
      <c r="B4" s="49"/>
      <c r="C4" s="49"/>
      <c r="D4" s="49"/>
      <c r="E4" s="49"/>
      <c r="F4" s="49"/>
      <c r="G4" s="49"/>
      <c r="H4" s="49"/>
      <c r="I4" s="49"/>
    </row>
    <row r="5" spans="1:20" ht="23" x14ac:dyDescent="0.5">
      <c r="A5" s="149" t="s">
        <v>128</v>
      </c>
      <c r="B5" s="88"/>
      <c r="C5" s="88"/>
      <c r="D5" s="88"/>
      <c r="E5" s="88"/>
      <c r="F5" s="88"/>
      <c r="G5" s="88"/>
      <c r="H5" s="88"/>
      <c r="I5" s="88"/>
      <c r="O5" s="50"/>
      <c r="P5" s="50"/>
      <c r="Q5" s="50"/>
      <c r="R5" s="50"/>
      <c r="S5" s="50"/>
      <c r="T5" s="50"/>
    </row>
    <row r="6" spans="1:20" ht="15.5" x14ac:dyDescent="0.35">
      <c r="A6" s="88"/>
      <c r="B6" s="148" t="s">
        <v>127</v>
      </c>
      <c r="C6" s="50"/>
      <c r="D6" s="50"/>
      <c r="E6" s="88"/>
      <c r="F6" s="88"/>
      <c r="G6" s="88"/>
      <c r="H6" s="88"/>
      <c r="I6" s="50"/>
    </row>
    <row r="7" spans="1:20" ht="32.25" customHeight="1" x14ac:dyDescent="0.35">
      <c r="A7" s="471" t="s">
        <v>95</v>
      </c>
      <c r="B7" s="472"/>
      <c r="C7" s="472"/>
      <c r="D7" s="473" t="str">
        <f>IF(G7=0,"",G7-365)</f>
        <v/>
      </c>
      <c r="E7" s="473"/>
      <c r="F7" s="101" t="s">
        <v>92</v>
      </c>
      <c r="G7" s="474"/>
      <c r="H7" s="474"/>
      <c r="I7" s="99"/>
      <c r="L7" s="75"/>
    </row>
    <row r="8" spans="1:20" ht="17.5" x14ac:dyDescent="0.35">
      <c r="A8" s="49"/>
      <c r="B8" s="110"/>
      <c r="C8" s="50"/>
      <c r="D8" s="102" t="s">
        <v>93</v>
      </c>
      <c r="E8" s="50"/>
      <c r="F8" s="99"/>
      <c r="G8" s="137" t="s">
        <v>121</v>
      </c>
      <c r="H8" s="50"/>
      <c r="I8" s="103"/>
    </row>
    <row r="9" spans="1:20" ht="17.5" x14ac:dyDescent="0.35">
      <c r="A9" s="129" t="str">
        <f>IF(OR(D7=0,G7=0),"Please Enter Re/Assessment Date",IF(SUM(L12:L45)&gt;0,"One or More Dates are Not Within Determination Year",""))</f>
        <v>Please Enter Re/Assessment Date</v>
      </c>
      <c r="C9" s="50"/>
      <c r="D9" s="102"/>
      <c r="E9" s="50"/>
      <c r="F9" s="99"/>
      <c r="G9" s="102"/>
      <c r="H9" s="50"/>
      <c r="I9" s="99"/>
    </row>
    <row r="10" spans="1:20" ht="17.5" x14ac:dyDescent="0.35">
      <c r="A10" s="130" t="str">
        <f>IF(LEFT(A9,3)="One","Please Fix or Delete Out of Date Items",IF(SUM(M12:M45)&gt;0,"Date Paid or Amount is Missing or $0",""))</f>
        <v/>
      </c>
      <c r="C10" s="1"/>
      <c r="D10" s="1"/>
      <c r="E10" s="1"/>
      <c r="F10" s="1"/>
      <c r="G10" s="1"/>
      <c r="H10" s="1"/>
      <c r="I10" s="1"/>
    </row>
    <row r="11" spans="1:20" ht="25" x14ac:dyDescent="0.25">
      <c r="A11" s="93" t="s">
        <v>89</v>
      </c>
      <c r="B11" s="51"/>
      <c r="C11" s="51"/>
      <c r="D11" s="51"/>
      <c r="E11" s="100"/>
      <c r="F11" s="51"/>
      <c r="G11" s="52"/>
      <c r="H11" s="53" t="s">
        <v>36</v>
      </c>
      <c r="I11" s="54" t="s">
        <v>37</v>
      </c>
    </row>
    <row r="12" spans="1:20" x14ac:dyDescent="0.25">
      <c r="A12" s="468"/>
      <c r="B12" s="469"/>
      <c r="C12" s="469"/>
      <c r="D12" s="469"/>
      <c r="E12" s="469"/>
      <c r="F12" s="469"/>
      <c r="G12" s="470"/>
      <c r="H12" s="108"/>
      <c r="I12" s="107"/>
      <c r="L12" t="str">
        <f>IF(H12="","",IF(OR(H12&gt;G$7,H12&lt;D$7),1,""))</f>
        <v/>
      </c>
      <c r="M12" t="str">
        <f t="shared" ref="M12:M17" si="0">IF(AND(I12=0,H12=0),"",IF(AND(NOT(I12=0),NOT(H12=0)),"",1))</f>
        <v/>
      </c>
    </row>
    <row r="13" spans="1:20" x14ac:dyDescent="0.25">
      <c r="A13" s="461"/>
      <c r="B13" s="462"/>
      <c r="C13" s="462"/>
      <c r="D13" s="462"/>
      <c r="E13" s="462"/>
      <c r="F13" s="462"/>
      <c r="G13" s="462"/>
      <c r="H13" s="108"/>
      <c r="I13" s="107"/>
      <c r="L13" t="str">
        <f>IF(H13="","",IF(OR(H13&gt;G$7,H13&lt;D$7),1,""))</f>
        <v/>
      </c>
      <c r="M13" t="str">
        <f t="shared" si="0"/>
        <v/>
      </c>
    </row>
    <row r="14" spans="1:20" x14ac:dyDescent="0.25">
      <c r="A14" s="461"/>
      <c r="B14" s="462"/>
      <c r="C14" s="462"/>
      <c r="D14" s="462"/>
      <c r="E14" s="462"/>
      <c r="F14" s="462"/>
      <c r="G14" s="462"/>
      <c r="H14" s="108"/>
      <c r="I14" s="107"/>
      <c r="L14" t="str">
        <f t="shared" ref="L14:L45" si="1">IF(H14="","",IF(OR(H14&gt;G$7,H14&lt;D$7),1,""))</f>
        <v/>
      </c>
      <c r="M14" t="str">
        <f t="shared" si="0"/>
        <v/>
      </c>
    </row>
    <row r="15" spans="1:20" x14ac:dyDescent="0.25">
      <c r="A15" s="461"/>
      <c r="B15" s="462"/>
      <c r="C15" s="462"/>
      <c r="D15" s="462"/>
      <c r="E15" s="462"/>
      <c r="F15" s="462"/>
      <c r="G15" s="462"/>
      <c r="H15" s="108"/>
      <c r="I15" s="107"/>
      <c r="L15" t="str">
        <f t="shared" si="1"/>
        <v/>
      </c>
      <c r="M15" t="str">
        <f t="shared" si="0"/>
        <v/>
      </c>
    </row>
    <row r="16" spans="1:20" x14ac:dyDescent="0.25">
      <c r="A16" s="461"/>
      <c r="B16" s="462"/>
      <c r="C16" s="462"/>
      <c r="D16" s="462"/>
      <c r="E16" s="462"/>
      <c r="F16" s="462"/>
      <c r="G16" s="462"/>
      <c r="H16" s="108"/>
      <c r="I16" s="107"/>
      <c r="L16" t="str">
        <f t="shared" si="1"/>
        <v/>
      </c>
      <c r="M16" t="str">
        <f t="shared" si="0"/>
        <v/>
      </c>
    </row>
    <row r="17" spans="1:13" x14ac:dyDescent="0.25">
      <c r="A17" s="461"/>
      <c r="B17" s="462"/>
      <c r="C17" s="462"/>
      <c r="D17" s="462"/>
      <c r="E17" s="462"/>
      <c r="F17" s="462"/>
      <c r="G17" s="462"/>
      <c r="H17" s="108"/>
      <c r="I17" s="107"/>
      <c r="L17" t="str">
        <f t="shared" si="1"/>
        <v/>
      </c>
      <c r="M17" t="str">
        <f t="shared" si="0"/>
        <v/>
      </c>
    </row>
    <row r="18" spans="1:13" x14ac:dyDescent="0.25">
      <c r="A18" s="461"/>
      <c r="B18" s="462"/>
      <c r="C18" s="462"/>
      <c r="D18" s="462"/>
      <c r="E18" s="462"/>
      <c r="F18" s="462"/>
      <c r="G18" s="462"/>
      <c r="H18" s="108"/>
      <c r="I18" s="107"/>
      <c r="L18" t="str">
        <f t="shared" si="1"/>
        <v/>
      </c>
      <c r="M18" t="str">
        <f t="shared" ref="M18:M45" si="2">IF(AND(I18=0,H18=0),"",IF(AND(NOT(I18=0),NOT(H18=0)),"",1))</f>
        <v/>
      </c>
    </row>
    <row r="19" spans="1:13" x14ac:dyDescent="0.25">
      <c r="A19" s="461"/>
      <c r="B19" s="462"/>
      <c r="C19" s="462"/>
      <c r="D19" s="462"/>
      <c r="E19" s="462"/>
      <c r="F19" s="462"/>
      <c r="G19" s="462"/>
      <c r="H19" s="108"/>
      <c r="I19" s="107"/>
      <c r="L19" t="str">
        <f t="shared" si="1"/>
        <v/>
      </c>
      <c r="M19" t="str">
        <f t="shared" si="2"/>
        <v/>
      </c>
    </row>
    <row r="20" spans="1:13" x14ac:dyDescent="0.25">
      <c r="A20" s="461"/>
      <c r="B20" s="462"/>
      <c r="C20" s="462"/>
      <c r="D20" s="462"/>
      <c r="E20" s="462"/>
      <c r="F20" s="462"/>
      <c r="G20" s="462"/>
      <c r="H20" s="108"/>
      <c r="I20" s="107"/>
      <c r="L20" t="str">
        <f t="shared" si="1"/>
        <v/>
      </c>
      <c r="M20" t="str">
        <f t="shared" si="2"/>
        <v/>
      </c>
    </row>
    <row r="21" spans="1:13" x14ac:dyDescent="0.25">
      <c r="A21" s="461"/>
      <c r="B21" s="462"/>
      <c r="C21" s="462"/>
      <c r="D21" s="462"/>
      <c r="E21" s="462"/>
      <c r="F21" s="462"/>
      <c r="G21" s="462"/>
      <c r="H21" s="108"/>
      <c r="I21" s="107"/>
      <c r="L21" t="str">
        <f t="shared" si="1"/>
        <v/>
      </c>
      <c r="M21" t="str">
        <f t="shared" si="2"/>
        <v/>
      </c>
    </row>
    <row r="22" spans="1:13" x14ac:dyDescent="0.25">
      <c r="A22" s="461"/>
      <c r="B22" s="462"/>
      <c r="C22" s="462"/>
      <c r="D22" s="462"/>
      <c r="E22" s="462"/>
      <c r="F22" s="462"/>
      <c r="G22" s="462"/>
      <c r="H22" s="108"/>
      <c r="I22" s="107"/>
      <c r="L22" t="str">
        <f t="shared" si="1"/>
        <v/>
      </c>
      <c r="M22" t="str">
        <f t="shared" si="2"/>
        <v/>
      </c>
    </row>
    <row r="23" spans="1:13" x14ac:dyDescent="0.25">
      <c r="A23" s="461"/>
      <c r="B23" s="462"/>
      <c r="C23" s="462"/>
      <c r="D23" s="462"/>
      <c r="E23" s="462"/>
      <c r="F23" s="462"/>
      <c r="G23" s="462"/>
      <c r="H23" s="108"/>
      <c r="I23" s="107"/>
      <c r="L23" t="str">
        <f t="shared" si="1"/>
        <v/>
      </c>
      <c r="M23" t="str">
        <f t="shared" si="2"/>
        <v/>
      </c>
    </row>
    <row r="24" spans="1:13" x14ac:dyDescent="0.25">
      <c r="A24" s="463"/>
      <c r="B24" s="464"/>
      <c r="C24" s="464"/>
      <c r="D24" s="464"/>
      <c r="E24" s="464"/>
      <c r="F24" s="464"/>
      <c r="G24" s="465"/>
      <c r="H24" s="108"/>
      <c r="I24" s="107"/>
      <c r="L24" t="str">
        <f t="shared" si="1"/>
        <v/>
      </c>
      <c r="M24" t="str">
        <f t="shared" si="2"/>
        <v/>
      </c>
    </row>
    <row r="25" spans="1:13" x14ac:dyDescent="0.25">
      <c r="A25" s="463"/>
      <c r="B25" s="464"/>
      <c r="C25" s="464"/>
      <c r="D25" s="464"/>
      <c r="E25" s="464"/>
      <c r="F25" s="464"/>
      <c r="G25" s="465"/>
      <c r="H25" s="108"/>
      <c r="I25" s="107"/>
      <c r="L25" t="str">
        <f t="shared" si="1"/>
        <v/>
      </c>
      <c r="M25" t="str">
        <f t="shared" si="2"/>
        <v/>
      </c>
    </row>
    <row r="26" spans="1:13" x14ac:dyDescent="0.25">
      <c r="A26" s="463"/>
      <c r="B26" s="464"/>
      <c r="C26" s="464"/>
      <c r="D26" s="464"/>
      <c r="E26" s="464"/>
      <c r="F26" s="464"/>
      <c r="G26" s="465"/>
      <c r="H26" s="108"/>
      <c r="I26" s="107"/>
      <c r="L26" t="str">
        <f t="shared" si="1"/>
        <v/>
      </c>
      <c r="M26" t="str">
        <f t="shared" si="2"/>
        <v/>
      </c>
    </row>
    <row r="27" spans="1:13" x14ac:dyDescent="0.25">
      <c r="A27" s="463"/>
      <c r="B27" s="464"/>
      <c r="C27" s="464"/>
      <c r="D27" s="464"/>
      <c r="E27" s="464"/>
      <c r="F27" s="464"/>
      <c r="G27" s="465"/>
      <c r="H27" s="108"/>
      <c r="I27" s="107"/>
      <c r="L27" t="str">
        <f t="shared" si="1"/>
        <v/>
      </c>
      <c r="M27" t="str">
        <f t="shared" si="2"/>
        <v/>
      </c>
    </row>
    <row r="28" spans="1:13" x14ac:dyDescent="0.25">
      <c r="A28" s="463"/>
      <c r="B28" s="464"/>
      <c r="C28" s="464"/>
      <c r="D28" s="464"/>
      <c r="E28" s="464"/>
      <c r="F28" s="464"/>
      <c r="G28" s="465"/>
      <c r="H28" s="108"/>
      <c r="I28" s="107"/>
      <c r="L28" t="str">
        <f t="shared" si="1"/>
        <v/>
      </c>
      <c r="M28" t="str">
        <f t="shared" si="2"/>
        <v/>
      </c>
    </row>
    <row r="29" spans="1:13" x14ac:dyDescent="0.25">
      <c r="A29" s="463"/>
      <c r="B29" s="464"/>
      <c r="C29" s="464"/>
      <c r="D29" s="464"/>
      <c r="E29" s="464"/>
      <c r="F29" s="464"/>
      <c r="G29" s="465"/>
      <c r="H29" s="108"/>
      <c r="I29" s="107"/>
      <c r="L29" t="str">
        <f t="shared" si="1"/>
        <v/>
      </c>
      <c r="M29" t="str">
        <f t="shared" si="2"/>
        <v/>
      </c>
    </row>
    <row r="30" spans="1:13" x14ac:dyDescent="0.25">
      <c r="A30" s="463"/>
      <c r="B30" s="464"/>
      <c r="C30" s="464"/>
      <c r="D30" s="464"/>
      <c r="E30" s="464"/>
      <c r="F30" s="464"/>
      <c r="G30" s="465"/>
      <c r="H30" s="108"/>
      <c r="I30" s="107"/>
      <c r="L30" t="str">
        <f t="shared" si="1"/>
        <v/>
      </c>
      <c r="M30" t="str">
        <f t="shared" si="2"/>
        <v/>
      </c>
    </row>
    <row r="31" spans="1:13" x14ac:dyDescent="0.25">
      <c r="A31" s="463"/>
      <c r="B31" s="464"/>
      <c r="C31" s="464"/>
      <c r="D31" s="464"/>
      <c r="E31" s="464"/>
      <c r="F31" s="464"/>
      <c r="G31" s="465"/>
      <c r="H31" s="108"/>
      <c r="I31" s="107"/>
      <c r="L31" t="str">
        <f t="shared" si="1"/>
        <v/>
      </c>
      <c r="M31" t="str">
        <f t="shared" si="2"/>
        <v/>
      </c>
    </row>
    <row r="32" spans="1:13" x14ac:dyDescent="0.25">
      <c r="A32" s="463"/>
      <c r="B32" s="464"/>
      <c r="C32" s="464"/>
      <c r="D32" s="464"/>
      <c r="E32" s="464"/>
      <c r="F32" s="464"/>
      <c r="G32" s="465"/>
      <c r="H32" s="108"/>
      <c r="I32" s="107"/>
      <c r="L32" t="str">
        <f t="shared" si="1"/>
        <v/>
      </c>
      <c r="M32" t="str">
        <f t="shared" si="2"/>
        <v/>
      </c>
    </row>
    <row r="33" spans="1:13" x14ac:dyDescent="0.25">
      <c r="A33" s="463"/>
      <c r="B33" s="464"/>
      <c r="C33" s="464"/>
      <c r="D33" s="464"/>
      <c r="E33" s="464"/>
      <c r="F33" s="464"/>
      <c r="G33" s="465"/>
      <c r="H33" s="108"/>
      <c r="I33" s="107"/>
      <c r="L33" t="str">
        <f t="shared" si="1"/>
        <v/>
      </c>
      <c r="M33" t="str">
        <f t="shared" si="2"/>
        <v/>
      </c>
    </row>
    <row r="34" spans="1:13" x14ac:dyDescent="0.25">
      <c r="A34" s="461"/>
      <c r="B34" s="462"/>
      <c r="C34" s="462"/>
      <c r="D34" s="462"/>
      <c r="E34" s="462"/>
      <c r="F34" s="462"/>
      <c r="G34" s="462"/>
      <c r="H34" s="108"/>
      <c r="I34" s="107"/>
      <c r="L34" t="str">
        <f t="shared" si="1"/>
        <v/>
      </c>
      <c r="M34" t="str">
        <f t="shared" si="2"/>
        <v/>
      </c>
    </row>
    <row r="35" spans="1:13" x14ac:dyDescent="0.25">
      <c r="A35" s="461"/>
      <c r="B35" s="462"/>
      <c r="C35" s="462"/>
      <c r="D35" s="462"/>
      <c r="E35" s="462"/>
      <c r="F35" s="462"/>
      <c r="G35" s="462"/>
      <c r="H35" s="108"/>
      <c r="I35" s="107"/>
      <c r="L35" t="str">
        <f t="shared" si="1"/>
        <v/>
      </c>
      <c r="M35" t="str">
        <f t="shared" si="2"/>
        <v/>
      </c>
    </row>
    <row r="36" spans="1:13" x14ac:dyDescent="0.25">
      <c r="A36" s="461"/>
      <c r="B36" s="462"/>
      <c r="C36" s="462"/>
      <c r="D36" s="462"/>
      <c r="E36" s="462"/>
      <c r="F36" s="462"/>
      <c r="G36" s="462"/>
      <c r="H36" s="108"/>
      <c r="I36" s="107"/>
      <c r="L36" t="str">
        <f t="shared" si="1"/>
        <v/>
      </c>
      <c r="M36" t="str">
        <f t="shared" si="2"/>
        <v/>
      </c>
    </row>
    <row r="37" spans="1:13" x14ac:dyDescent="0.25">
      <c r="A37" s="461"/>
      <c r="B37" s="462"/>
      <c r="C37" s="462"/>
      <c r="D37" s="462"/>
      <c r="E37" s="462"/>
      <c r="F37" s="462"/>
      <c r="G37" s="462"/>
      <c r="H37" s="108"/>
      <c r="I37" s="107"/>
      <c r="L37" t="str">
        <f t="shared" si="1"/>
        <v/>
      </c>
      <c r="M37" t="str">
        <f t="shared" si="2"/>
        <v/>
      </c>
    </row>
    <row r="38" spans="1:13" x14ac:dyDescent="0.25">
      <c r="A38" s="461"/>
      <c r="B38" s="462"/>
      <c r="C38" s="462"/>
      <c r="D38" s="462"/>
      <c r="E38" s="462"/>
      <c r="F38" s="462"/>
      <c r="G38" s="462"/>
      <c r="H38" s="108"/>
      <c r="I38" s="107"/>
      <c r="L38" t="str">
        <f t="shared" si="1"/>
        <v/>
      </c>
      <c r="M38" t="str">
        <f t="shared" si="2"/>
        <v/>
      </c>
    </row>
    <row r="39" spans="1:13" x14ac:dyDescent="0.25">
      <c r="A39" s="461"/>
      <c r="B39" s="462"/>
      <c r="C39" s="462"/>
      <c r="D39" s="462"/>
      <c r="E39" s="462"/>
      <c r="F39" s="462"/>
      <c r="G39" s="462"/>
      <c r="H39" s="108"/>
      <c r="I39" s="107"/>
      <c r="L39" t="str">
        <f t="shared" si="1"/>
        <v/>
      </c>
      <c r="M39" t="str">
        <f t="shared" si="2"/>
        <v/>
      </c>
    </row>
    <row r="40" spans="1:13" x14ac:dyDescent="0.25">
      <c r="A40" s="461"/>
      <c r="B40" s="462"/>
      <c r="C40" s="462"/>
      <c r="D40" s="462"/>
      <c r="E40" s="462"/>
      <c r="F40" s="462"/>
      <c r="G40" s="462"/>
      <c r="H40" s="108"/>
      <c r="I40" s="107"/>
      <c r="L40" t="str">
        <f t="shared" si="1"/>
        <v/>
      </c>
      <c r="M40" t="str">
        <f t="shared" si="2"/>
        <v/>
      </c>
    </row>
    <row r="41" spans="1:13" x14ac:dyDescent="0.25">
      <c r="A41" s="461"/>
      <c r="B41" s="462"/>
      <c r="C41" s="462"/>
      <c r="D41" s="462"/>
      <c r="E41" s="462"/>
      <c r="F41" s="462"/>
      <c r="G41" s="462"/>
      <c r="H41" s="108"/>
      <c r="I41" s="107"/>
      <c r="L41" t="str">
        <f t="shared" si="1"/>
        <v/>
      </c>
      <c r="M41" t="str">
        <f t="shared" si="2"/>
        <v/>
      </c>
    </row>
    <row r="42" spans="1:13" x14ac:dyDescent="0.25">
      <c r="A42" s="461"/>
      <c r="B42" s="462"/>
      <c r="C42" s="462"/>
      <c r="D42" s="462"/>
      <c r="E42" s="462"/>
      <c r="F42" s="462"/>
      <c r="G42" s="462"/>
      <c r="H42" s="108"/>
      <c r="I42" s="107"/>
      <c r="L42" t="str">
        <f t="shared" si="1"/>
        <v/>
      </c>
      <c r="M42" t="str">
        <f t="shared" si="2"/>
        <v/>
      </c>
    </row>
    <row r="43" spans="1:13" x14ac:dyDescent="0.25">
      <c r="A43" s="461"/>
      <c r="B43" s="462"/>
      <c r="C43" s="462"/>
      <c r="D43" s="462"/>
      <c r="E43" s="462"/>
      <c r="F43" s="462"/>
      <c r="G43" s="462"/>
      <c r="H43" s="108"/>
      <c r="I43" s="107"/>
      <c r="L43" t="str">
        <f t="shared" si="1"/>
        <v/>
      </c>
      <c r="M43" t="str">
        <f t="shared" si="2"/>
        <v/>
      </c>
    </row>
    <row r="44" spans="1:13" x14ac:dyDescent="0.25">
      <c r="A44" s="461"/>
      <c r="B44" s="462"/>
      <c r="C44" s="462"/>
      <c r="D44" s="462"/>
      <c r="E44" s="462"/>
      <c r="F44" s="462"/>
      <c r="G44" s="462"/>
      <c r="H44" s="108"/>
      <c r="I44" s="107"/>
      <c r="L44" t="str">
        <f t="shared" si="1"/>
        <v/>
      </c>
      <c r="M44" t="str">
        <f t="shared" si="2"/>
        <v/>
      </c>
    </row>
    <row r="45" spans="1:13" x14ac:dyDescent="0.25">
      <c r="A45" s="461"/>
      <c r="B45" s="462"/>
      <c r="C45" s="462"/>
      <c r="D45" s="462"/>
      <c r="E45" s="462"/>
      <c r="F45" s="462"/>
      <c r="G45" s="462"/>
      <c r="H45" s="108"/>
      <c r="I45" s="107"/>
      <c r="L45" t="str">
        <f t="shared" si="1"/>
        <v/>
      </c>
      <c r="M45" t="str">
        <f t="shared" si="2"/>
        <v/>
      </c>
    </row>
    <row r="46" spans="1:13" ht="17.5" x14ac:dyDescent="0.35">
      <c r="A46" s="458" t="s">
        <v>40</v>
      </c>
      <c r="B46" s="459"/>
      <c r="C46" s="459"/>
      <c r="D46" s="460"/>
      <c r="E46" s="460"/>
      <c r="F46" s="460"/>
      <c r="G46" s="460"/>
      <c r="H46" s="460"/>
      <c r="I46" s="131">
        <f>IF(OR(D7=0,G7=0),0,IF(SUM(L12:L45)&gt;0,"ERROR",ROUND(SUM(I12:I45),2)))</f>
        <v>0</v>
      </c>
    </row>
    <row r="47" spans="1:13" x14ac:dyDescent="0.25">
      <c r="A47" s="1"/>
      <c r="B47" s="1"/>
      <c r="C47" s="1"/>
      <c r="D47" s="1"/>
      <c r="E47" s="1"/>
      <c r="F47" s="1"/>
      <c r="G47" s="1"/>
      <c r="H47" s="1"/>
      <c r="I47" s="1"/>
    </row>
    <row r="48" spans="1:13" ht="13" x14ac:dyDescent="0.3">
      <c r="A48" s="42" t="s">
        <v>46</v>
      </c>
      <c r="B48" s="1"/>
      <c r="C48" s="1"/>
      <c r="D48" s="1"/>
      <c r="E48" s="1"/>
      <c r="F48" s="1"/>
      <c r="G48" s="1"/>
      <c r="H48" s="1"/>
      <c r="I48" s="74" t="str">
        <f>Eligibility!U42</f>
        <v>created 11/12</v>
      </c>
    </row>
    <row r="49" spans="1:9" x14ac:dyDescent="0.25">
      <c r="A49" s="1"/>
      <c r="B49" s="1"/>
      <c r="C49" s="1"/>
      <c r="D49" s="1"/>
      <c r="E49" s="1"/>
      <c r="F49" s="1"/>
      <c r="G49" s="1"/>
      <c r="H49" s="1"/>
      <c r="I49" s="1"/>
    </row>
  </sheetData>
  <mergeCells count="41">
    <mergeCell ref="E1:G1"/>
    <mergeCell ref="E2:G2"/>
    <mergeCell ref="A1:C1"/>
    <mergeCell ref="A20:G20"/>
    <mergeCell ref="A21:G21"/>
    <mergeCell ref="A18:G18"/>
    <mergeCell ref="A12:G12"/>
    <mergeCell ref="A7:C7"/>
    <mergeCell ref="D7:E7"/>
    <mergeCell ref="G7:H7"/>
    <mergeCell ref="A13:G13"/>
    <mergeCell ref="A14:G14"/>
    <mergeCell ref="A15:G15"/>
    <mergeCell ref="A16:G16"/>
    <mergeCell ref="A17:G17"/>
    <mergeCell ref="A19:G19"/>
    <mergeCell ref="A22:G22"/>
    <mergeCell ref="A23:G23"/>
    <mergeCell ref="A34:G34"/>
    <mergeCell ref="A25:G25"/>
    <mergeCell ref="A26:G26"/>
    <mergeCell ref="A27:G27"/>
    <mergeCell ref="A28:G28"/>
    <mergeCell ref="A33:G33"/>
    <mergeCell ref="A24:G24"/>
    <mergeCell ref="A46:H46"/>
    <mergeCell ref="A35:G35"/>
    <mergeCell ref="A44:G44"/>
    <mergeCell ref="A45:G45"/>
    <mergeCell ref="A29:G29"/>
    <mergeCell ref="A30:G30"/>
    <mergeCell ref="A31:G31"/>
    <mergeCell ref="A32:G32"/>
    <mergeCell ref="A36:G36"/>
    <mergeCell ref="A37:G37"/>
    <mergeCell ref="A38:G38"/>
    <mergeCell ref="A39:G39"/>
    <mergeCell ref="A40:G40"/>
    <mergeCell ref="A41:G41"/>
    <mergeCell ref="A42:G42"/>
    <mergeCell ref="A43:G43"/>
  </mergeCells>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39"/>
  <sheetViews>
    <sheetView zoomScaleNormal="100" zoomScaleSheetLayoutView="100" workbookViewId="0"/>
  </sheetViews>
  <sheetFormatPr defaultRowHeight="12.5" x14ac:dyDescent="0.25"/>
  <cols>
    <col min="1" max="1" width="3.36328125" customWidth="1"/>
    <col min="2" max="2" width="13.36328125" customWidth="1"/>
    <col min="3" max="3" width="12.453125" customWidth="1"/>
    <col min="4" max="4" width="8.6328125" customWidth="1"/>
    <col min="6" max="6" width="5.90625" customWidth="1"/>
    <col min="7" max="7" width="15.453125" customWidth="1"/>
    <col min="8" max="8" width="13.54296875" customWidth="1"/>
    <col min="9" max="9" width="13.453125" customWidth="1"/>
    <col min="10" max="10" width="10.90625" customWidth="1"/>
  </cols>
  <sheetData>
    <row r="1" spans="1:10" ht="18.5" x14ac:dyDescent="0.25">
      <c r="A1" s="191" t="s">
        <v>326</v>
      </c>
      <c r="B1" s="88"/>
      <c r="C1" s="88"/>
      <c r="D1" s="88"/>
      <c r="E1" s="88"/>
      <c r="F1" s="88"/>
      <c r="G1" s="88"/>
      <c r="H1" s="88"/>
      <c r="I1" s="88"/>
      <c r="J1" s="88"/>
    </row>
    <row r="2" spans="1:10" ht="18.5" x14ac:dyDescent="0.25">
      <c r="A2" s="187"/>
    </row>
    <row r="3" spans="1:10" s="192" customFormat="1" ht="29.25" customHeight="1" thickBot="1" x14ac:dyDescent="0.4">
      <c r="A3" s="193" t="s">
        <v>152</v>
      </c>
      <c r="B3" s="475"/>
      <c r="C3" s="476"/>
      <c r="D3" s="476"/>
      <c r="E3" s="192" t="s">
        <v>164</v>
      </c>
    </row>
    <row r="4" spans="1:10" s="192" customFormat="1" ht="14.5" x14ac:dyDescent="0.35">
      <c r="B4" s="193" t="s">
        <v>165</v>
      </c>
    </row>
    <row r="5" spans="1:10" s="192" customFormat="1" ht="14.5" x14ac:dyDescent="0.35">
      <c r="B5" s="193" t="s">
        <v>166</v>
      </c>
    </row>
    <row r="6" spans="1:10" s="192" customFormat="1" ht="14.5" x14ac:dyDescent="0.35"/>
    <row r="7" spans="1:10" s="192" customFormat="1" ht="14.5" x14ac:dyDescent="0.35">
      <c r="A7" s="193" t="s">
        <v>150</v>
      </c>
    </row>
    <row r="8" spans="1:10" s="192" customFormat="1" ht="14.5" x14ac:dyDescent="0.35">
      <c r="A8" s="194" t="s">
        <v>154</v>
      </c>
    </row>
    <row r="9" spans="1:10" s="192" customFormat="1" ht="14.5" x14ac:dyDescent="0.35">
      <c r="A9" s="194" t="s">
        <v>155</v>
      </c>
    </row>
    <row r="10" spans="1:10" s="192" customFormat="1" ht="14.5" x14ac:dyDescent="0.35">
      <c r="A10" s="194" t="s">
        <v>156</v>
      </c>
    </row>
    <row r="11" spans="1:10" s="192" customFormat="1" ht="14.5" x14ac:dyDescent="0.35">
      <c r="A11" s="194" t="s">
        <v>167</v>
      </c>
    </row>
    <row r="12" spans="1:10" s="192" customFormat="1" ht="14.5" x14ac:dyDescent="0.35">
      <c r="A12" s="194"/>
      <c r="C12" s="192" t="s">
        <v>168</v>
      </c>
    </row>
    <row r="13" spans="1:10" s="192" customFormat="1" ht="14.5" x14ac:dyDescent="0.35">
      <c r="A13" s="194" t="s">
        <v>169</v>
      </c>
    </row>
    <row r="14" spans="1:10" s="192" customFormat="1" ht="14.5" x14ac:dyDescent="0.35">
      <c r="A14" s="194"/>
      <c r="C14" s="192" t="s">
        <v>170</v>
      </c>
    </row>
    <row r="15" spans="1:10" s="192" customFormat="1" ht="14.5" x14ac:dyDescent="0.35">
      <c r="A15" s="194" t="s">
        <v>162</v>
      </c>
    </row>
    <row r="16" spans="1:10" s="192" customFormat="1" ht="14.5" x14ac:dyDescent="0.35">
      <c r="A16" s="194"/>
      <c r="C16" s="192" t="s">
        <v>153</v>
      </c>
    </row>
    <row r="17" spans="1:9" s="192" customFormat="1" ht="14.5" x14ac:dyDescent="0.35">
      <c r="A17" s="194" t="s">
        <v>157</v>
      </c>
    </row>
    <row r="18" spans="1:9" s="192" customFormat="1" ht="14.5" x14ac:dyDescent="0.35">
      <c r="A18" s="194" t="s">
        <v>171</v>
      </c>
    </row>
    <row r="19" spans="1:9" s="192" customFormat="1" ht="14.5" x14ac:dyDescent="0.35">
      <c r="A19" s="193"/>
      <c r="C19" s="192" t="s">
        <v>172</v>
      </c>
    </row>
    <row r="20" spans="1:9" s="192" customFormat="1" ht="14.5" x14ac:dyDescent="0.35">
      <c r="A20" s="193"/>
    </row>
    <row r="21" spans="1:9" s="192" customFormat="1" ht="14.5" x14ac:dyDescent="0.35">
      <c r="A21" s="193" t="s">
        <v>163</v>
      </c>
    </row>
    <row r="22" spans="1:9" s="192" customFormat="1" ht="15" thickBot="1" x14ac:dyDescent="0.4">
      <c r="A22" s="193" t="s">
        <v>158</v>
      </c>
      <c r="C22" s="268"/>
      <c r="D22" s="192" t="s">
        <v>159</v>
      </c>
      <c r="H22" s="268"/>
      <c r="I22" s="192" t="s">
        <v>160</v>
      </c>
    </row>
    <row r="23" spans="1:9" s="192" customFormat="1" ht="15" thickBot="1" x14ac:dyDescent="0.4">
      <c r="A23" s="192" t="s">
        <v>217</v>
      </c>
      <c r="E23" s="477"/>
      <c r="F23" s="478"/>
      <c r="G23" s="192" t="s">
        <v>161</v>
      </c>
    </row>
    <row r="24" spans="1:9" s="192" customFormat="1" ht="14.5" x14ac:dyDescent="0.35">
      <c r="A24" s="193"/>
    </row>
    <row r="25" spans="1:9" s="192" customFormat="1" ht="14.5" x14ac:dyDescent="0.35">
      <c r="A25" s="195" t="s">
        <v>173</v>
      </c>
    </row>
    <row r="26" spans="1:9" s="192" customFormat="1" ht="14.5" x14ac:dyDescent="0.35">
      <c r="A26" s="196"/>
      <c r="B26" s="192" t="s">
        <v>174</v>
      </c>
    </row>
    <row r="27" spans="1:9" s="192" customFormat="1" ht="14.5" x14ac:dyDescent="0.35">
      <c r="A27" s="196"/>
    </row>
    <row r="28" spans="1:9" s="192" customFormat="1" ht="14.5" x14ac:dyDescent="0.35">
      <c r="A28" s="193" t="s">
        <v>175</v>
      </c>
    </row>
    <row r="29" spans="1:9" s="192" customFormat="1" ht="14.5" x14ac:dyDescent="0.35">
      <c r="A29" s="193"/>
      <c r="B29" s="192" t="s">
        <v>187</v>
      </c>
    </row>
    <row r="30" spans="1:9" s="192" customFormat="1" ht="14.5" x14ac:dyDescent="0.35">
      <c r="A30" s="193"/>
      <c r="B30" s="192" t="s">
        <v>176</v>
      </c>
    </row>
    <row r="31" spans="1:9" s="192" customFormat="1" ht="14.5" x14ac:dyDescent="0.35">
      <c r="A31" s="193"/>
    </row>
    <row r="32" spans="1:9" s="192" customFormat="1" ht="16" thickBot="1" x14ac:dyDescent="0.5">
      <c r="A32" s="479" t="s">
        <v>188</v>
      </c>
      <c r="B32" s="480"/>
      <c r="C32" s="481"/>
      <c r="D32" s="482"/>
      <c r="E32" s="482"/>
      <c r="F32" s="482"/>
      <c r="G32" s="270" t="s">
        <v>189</v>
      </c>
      <c r="H32" s="269"/>
    </row>
    <row r="33" spans="1:8" s="192" customFormat="1" ht="14.5" x14ac:dyDescent="0.35">
      <c r="A33" s="193"/>
      <c r="C33" s="225"/>
      <c r="D33" s="225"/>
      <c r="E33" s="225"/>
      <c r="F33" s="225"/>
      <c r="G33" s="270"/>
      <c r="H33" s="225"/>
    </row>
    <row r="34" spans="1:8" s="192" customFormat="1" ht="16" thickBot="1" x14ac:dyDescent="0.5">
      <c r="A34" s="479" t="s">
        <v>190</v>
      </c>
      <c r="B34" s="480"/>
      <c r="C34" s="483"/>
      <c r="D34" s="484"/>
      <c r="E34" s="484"/>
      <c r="F34" s="484"/>
      <c r="G34" s="270" t="s">
        <v>191</v>
      </c>
      <c r="H34" s="269"/>
    </row>
    <row r="35" spans="1:8" s="192" customFormat="1" ht="14.5" x14ac:dyDescent="0.35">
      <c r="A35" s="193"/>
      <c r="C35" s="225"/>
      <c r="D35" s="225"/>
      <c r="E35" s="225"/>
      <c r="F35" s="225"/>
      <c r="H35" s="225"/>
    </row>
    <row r="36" spans="1:8" ht="15.5" x14ac:dyDescent="0.25">
      <c r="A36" s="188"/>
    </row>
    <row r="37" spans="1:8" x14ac:dyDescent="0.25">
      <c r="A37" s="189"/>
    </row>
    <row r="38" spans="1:8" x14ac:dyDescent="0.25">
      <c r="A38" s="189"/>
    </row>
    <row r="39" spans="1:8" ht="13" x14ac:dyDescent="0.25">
      <c r="A39" s="190" t="s">
        <v>151</v>
      </c>
    </row>
  </sheetData>
  <sheetProtection sheet="1" objects="1" scenarios="1"/>
  <mergeCells count="6">
    <mergeCell ref="B3:D3"/>
    <mergeCell ref="E23:F23"/>
    <mergeCell ref="A32:B32"/>
    <mergeCell ref="C32:F32"/>
    <mergeCell ref="A34:B34"/>
    <mergeCell ref="C34:F34"/>
  </mergeCells>
  <pageMargins left="0.5" right="0.5" top="0.5" bottom="0.5" header="0.3" footer="0.3"/>
  <pageSetup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45"/>
  <sheetViews>
    <sheetView zoomScaleNormal="100" workbookViewId="0">
      <selection sqref="A1:B1"/>
    </sheetView>
  </sheetViews>
  <sheetFormatPr defaultRowHeight="12.5" x14ac:dyDescent="0.25"/>
  <cols>
    <col min="1" max="1" width="17.6328125" customWidth="1"/>
    <col min="2" max="2" width="9" customWidth="1"/>
    <col min="3" max="3" width="9.453125" customWidth="1"/>
    <col min="4" max="4" width="8.36328125" customWidth="1"/>
    <col min="5" max="5" width="5.6328125" customWidth="1"/>
    <col min="6" max="6" width="13.453125" style="253" customWidth="1"/>
    <col min="7" max="7" width="15.36328125" style="253" customWidth="1"/>
    <col min="8" max="8" width="2.36328125" style="253" customWidth="1"/>
    <col min="10" max="10" width="10.08984375" customWidth="1"/>
    <col min="11" max="11" width="4.6328125" customWidth="1"/>
    <col min="12" max="14" width="9.54296875" hidden="1" customWidth="1"/>
    <col min="15" max="15" width="9.08984375" hidden="1" customWidth="1"/>
    <col min="16" max="16" width="0" hidden="1" customWidth="1"/>
  </cols>
  <sheetData>
    <row r="1" spans="1:16" ht="47.25" customHeight="1" thickBot="1" x14ac:dyDescent="0.3">
      <c r="A1" s="446" t="str">
        <f>IF(AND(Eligibility!H1="",Eligibility!A1=""),"No Name Please Fill Out Eligibility Tab",IF(NOT(Eligibility!A1=""),Eligibility!A1,""))</f>
        <v>No Name Please Fill Out Eligibility Tab</v>
      </c>
      <c r="B1" s="447"/>
      <c r="C1" s="142"/>
      <c r="D1" s="466" t="str">
        <f>IF(AND(Eligibility!H1="",Eligibility!A1=""),"No Case # Please Fill Out Eligibility Tab",IF(NOT(Eligibility!H1=""),Eligibility!H1,""))</f>
        <v>No Case # Please Fill Out Eligibility Tab</v>
      </c>
      <c r="E1" s="319"/>
      <c r="F1" s="274"/>
      <c r="G1" s="276" t="str">
        <f>IF(Eligibility!O1="","Please Enter Agency Initials on Eligibility tab",Eligibility!O1)</f>
        <v>Please Enter Agency Initials on Eligibility tab</v>
      </c>
      <c r="H1" s="2"/>
      <c r="I1" s="504">
        <f ca="1">TODAY()</f>
        <v>46038</v>
      </c>
      <c r="J1" s="505"/>
    </row>
    <row r="2" spans="1:16" ht="13" thickTop="1" x14ac:dyDescent="0.25">
      <c r="A2" s="375" t="s">
        <v>16</v>
      </c>
      <c r="B2" s="444"/>
      <c r="C2" s="44"/>
      <c r="D2" s="488" t="s">
        <v>17</v>
      </c>
      <c r="E2" s="414"/>
      <c r="F2" s="67"/>
      <c r="G2" s="275" t="s">
        <v>224</v>
      </c>
      <c r="H2" s="2"/>
      <c r="I2" s="506" t="s">
        <v>88</v>
      </c>
      <c r="J2" s="414"/>
    </row>
    <row r="3" spans="1:16" ht="22.5" x14ac:dyDescent="0.25">
      <c r="A3" s="509" t="s">
        <v>84</v>
      </c>
      <c r="B3" s="472"/>
      <c r="C3" s="472"/>
      <c r="D3" s="472"/>
      <c r="E3" s="472"/>
      <c r="F3" s="472"/>
      <c r="G3" s="472"/>
      <c r="H3" s="472"/>
      <c r="I3" s="472"/>
      <c r="J3" s="472"/>
      <c r="K3" s="472"/>
      <c r="L3" s="86"/>
      <c r="M3" s="86"/>
    </row>
    <row r="4" spans="1:16" ht="22.5" x14ac:dyDescent="0.25">
      <c r="A4" s="150" t="s">
        <v>144</v>
      </c>
      <c r="B4" s="86"/>
      <c r="C4" s="86"/>
      <c r="D4" s="86"/>
      <c r="E4" s="86"/>
      <c r="F4" s="86"/>
      <c r="G4" s="86"/>
      <c r="H4" s="86"/>
      <c r="I4" s="86"/>
      <c r="J4" s="86"/>
      <c r="K4" s="77"/>
      <c r="L4" s="86"/>
      <c r="M4" s="86"/>
    </row>
    <row r="5" spans="1:16" ht="11.25" customHeight="1" x14ac:dyDescent="0.35">
      <c r="A5" s="103"/>
    </row>
    <row r="6" spans="1:16" ht="27" customHeight="1" x14ac:dyDescent="0.35">
      <c r="A6" s="512" t="s">
        <v>91</v>
      </c>
      <c r="B6" s="513"/>
      <c r="C6" s="513"/>
      <c r="D6" s="515"/>
      <c r="E6" s="515"/>
      <c r="F6" s="101" t="s">
        <v>92</v>
      </c>
      <c r="G6" s="514" t="str">
        <f>IF(D6=0,"",D6+365)</f>
        <v/>
      </c>
      <c r="H6" s="514"/>
      <c r="J6" s="110"/>
      <c r="P6" s="1"/>
    </row>
    <row r="7" spans="1:16" ht="15.5" x14ac:dyDescent="0.35">
      <c r="B7" s="122"/>
      <c r="C7" s="122"/>
      <c r="D7" s="502" t="s">
        <v>93</v>
      </c>
      <c r="E7" s="503"/>
      <c r="F7" s="123"/>
      <c r="G7" s="123" t="s">
        <v>94</v>
      </c>
      <c r="H7" s="265"/>
      <c r="M7" s="85" t="s">
        <v>232</v>
      </c>
      <c r="P7" s="1"/>
    </row>
    <row r="8" spans="1:16" ht="17.5" x14ac:dyDescent="0.35">
      <c r="A8" s="124" t="s">
        <v>97</v>
      </c>
      <c r="B8" s="278" t="s">
        <v>232</v>
      </c>
      <c r="C8" s="125" t="s">
        <v>98</v>
      </c>
      <c r="D8" s="85"/>
      <c r="E8" s="17"/>
      <c r="F8" s="252"/>
      <c r="G8" s="251"/>
      <c r="H8" s="18"/>
      <c r="I8" s="90"/>
      <c r="J8" s="103"/>
      <c r="M8" s="85"/>
    </row>
    <row r="9" spans="1:16" ht="31.5" customHeight="1" x14ac:dyDescent="0.35">
      <c r="A9" s="146" t="str">
        <f>IF(I11="Cat 1","Client has no Annual Cap, NO CHARGES Necessary",IF(AND(A1=0,D1=0),"Please Enter Name or Case # on "&amp;B8&amp; " Tab ",""))</f>
        <v/>
      </c>
      <c r="B9" s="143"/>
      <c r="C9" s="125"/>
      <c r="D9" s="44"/>
      <c r="E9" s="17"/>
      <c r="F9" s="252"/>
      <c r="G9" s="263"/>
      <c r="H9" s="18"/>
      <c r="I9" s="90"/>
      <c r="J9" s="103"/>
    </row>
    <row r="10" spans="1:16" ht="17.5" x14ac:dyDescent="0.35">
      <c r="A10" s="161" t="str">
        <f>IF(OR(D6=0,G6=0),"Please Enter Start Date",IF(SUM(N16:N53)&gt;0,"One or More Dates are Not Within Determination Year",""))</f>
        <v>Please Enter Start Date</v>
      </c>
      <c r="C10" s="104"/>
      <c r="D10" s="104"/>
      <c r="E10" s="105"/>
      <c r="F10" s="252"/>
      <c r="G10" s="264" t="str">
        <f>IF(B13="N/A","Please Verify Data on the "&amp;B8&amp;" Tab","")</f>
        <v>Please Verify Data on the Eligibility Tab</v>
      </c>
      <c r="H10" s="2"/>
      <c r="I10" s="102"/>
      <c r="J10" s="88"/>
    </row>
    <row r="11" spans="1:16" ht="15.5" x14ac:dyDescent="0.35">
      <c r="A11" s="255" t="str">
        <f>IF(LEFT(A10,3)="One","Please Fix or Delete Out of Date Items",IF(SUM(O19:O42)&gt;0,"Date Paid or Amount is Missing",""))</f>
        <v/>
      </c>
      <c r="B11" s="88"/>
      <c r="C11" s="88"/>
      <c r="D11" s="88"/>
      <c r="E11" s="88"/>
      <c r="G11" s="89" t="s">
        <v>231</v>
      </c>
      <c r="I11" s="490" t="str">
        <f>IF(AND(LEFT(B8,5)="Eligi",Eligibility!B57&gt;=0),Eligibility!B57,"Choose Tab")</f>
        <v>N/A</v>
      </c>
      <c r="J11" s="491"/>
    </row>
    <row r="12" spans="1:16" ht="7.5" customHeight="1" x14ac:dyDescent="0.35">
      <c r="A12" s="255"/>
      <c r="B12" s="88"/>
      <c r="C12" s="88"/>
      <c r="D12" s="88"/>
      <c r="E12" s="88"/>
      <c r="I12" s="88"/>
      <c r="J12" s="111"/>
    </row>
    <row r="13" spans="1:16" ht="15.5" x14ac:dyDescent="0.35">
      <c r="A13" s="109" t="s">
        <v>85</v>
      </c>
      <c r="B13" s="510" t="str">
        <f>IF(AND(LEFT(B8,5)="Eligi",Eligibility!B53&gt;=0),Eligibility!B53,"Choose Tab")</f>
        <v>N/A</v>
      </c>
      <c r="C13" s="511"/>
      <c r="E13" s="89"/>
      <c r="F13" s="256"/>
      <c r="G13" s="518" t="s">
        <v>86</v>
      </c>
      <c r="H13" s="519"/>
      <c r="I13" s="510" t="str">
        <f>IF(AND(LEFT(B8,5)="Eligi",Eligibility!Q57&gt;=0),Eligibility!Q57,"Choose Tab")</f>
        <v>N/A</v>
      </c>
      <c r="J13" s="511"/>
      <c r="L13" s="184"/>
    </row>
    <row r="14" spans="1:16" ht="7.25" customHeight="1" x14ac:dyDescent="0.25">
      <c r="I14" s="75"/>
      <c r="J14" s="75"/>
    </row>
    <row r="15" spans="1:16" ht="31" x14ac:dyDescent="0.35">
      <c r="A15" s="91" t="s">
        <v>198</v>
      </c>
      <c r="B15" s="495">
        <f>I43+0</f>
        <v>0</v>
      </c>
      <c r="C15" s="496"/>
      <c r="D15" s="92"/>
      <c r="E15" s="91"/>
      <c r="F15" s="257"/>
      <c r="G15" s="516" t="s">
        <v>113</v>
      </c>
      <c r="H15" s="517"/>
      <c r="I15" s="507">
        <f>IF(OR(D6=0,G6=0),0,IF(I13&gt;0,I13-B15,IF(I13=0,0,"N/A")))</f>
        <v>0</v>
      </c>
      <c r="J15" s="508"/>
    </row>
    <row r="16" spans="1:16" ht="8.4" customHeight="1" x14ac:dyDescent="0.25"/>
    <row r="17" spans="1:15" ht="22.5" x14ac:dyDescent="0.45">
      <c r="A17" s="87" t="s">
        <v>196</v>
      </c>
      <c r="B17" s="88"/>
      <c r="C17" s="88"/>
      <c r="D17" s="88"/>
      <c r="E17" s="88"/>
    </row>
    <row r="18" spans="1:15" x14ac:dyDescent="0.25">
      <c r="A18" s="526" t="s">
        <v>197</v>
      </c>
      <c r="B18" s="527"/>
      <c r="C18" s="527"/>
      <c r="D18" s="527"/>
      <c r="E18" s="144"/>
      <c r="F18" s="258" t="s">
        <v>199</v>
      </c>
      <c r="G18" s="220" t="s">
        <v>18</v>
      </c>
      <c r="H18" s="266"/>
      <c r="I18" s="528" t="s">
        <v>87</v>
      </c>
      <c r="J18" s="529"/>
    </row>
    <row r="19" spans="1:15" x14ac:dyDescent="0.25">
      <c r="A19" s="530"/>
      <c r="B19" s="464"/>
      <c r="C19" s="464"/>
      <c r="D19" s="464"/>
      <c r="E19" s="465"/>
      <c r="F19" s="259"/>
      <c r="G19" s="521"/>
      <c r="H19" s="522"/>
      <c r="I19" s="500"/>
      <c r="J19" s="501"/>
      <c r="N19" s="85" t="str">
        <f>IF(G19="","",IF(G$6&lt;G19,1,IF(G$6-365&gt;G19,1,"")))</f>
        <v/>
      </c>
      <c r="O19" t="str">
        <f>IF(AND(I19=0,G19=0),"",IF(AND(NOT(I19=0),NOT(G19=0)),"",1))</f>
        <v/>
      </c>
    </row>
    <row r="20" spans="1:15" x14ac:dyDescent="0.25">
      <c r="A20" s="520"/>
      <c r="B20" s="493"/>
      <c r="C20" s="493"/>
      <c r="D20" s="493"/>
      <c r="E20" s="494"/>
      <c r="F20" s="259"/>
      <c r="G20" s="523"/>
      <c r="H20" s="499"/>
      <c r="I20" s="500"/>
      <c r="J20" s="501"/>
      <c r="N20" s="85" t="str">
        <f t="shared" ref="N20:N42" si="0">IF(G20="","",IF(G$6&lt;G20,1,IF(G$6-365&gt;G20,1,"")))</f>
        <v/>
      </c>
      <c r="O20" t="str">
        <f t="shared" ref="O20:O42" si="1">IF(AND(I20=0,G20=0),"",IF(AND(NOT(I20=0),NOT(G20=0)),"",1))</f>
        <v/>
      </c>
    </row>
    <row r="21" spans="1:15" x14ac:dyDescent="0.25">
      <c r="A21" s="520"/>
      <c r="B21" s="493"/>
      <c r="C21" s="493"/>
      <c r="D21" s="493"/>
      <c r="E21" s="494"/>
      <c r="F21" s="259"/>
      <c r="G21" s="497"/>
      <c r="H21" s="498"/>
      <c r="I21" s="486"/>
      <c r="J21" s="499"/>
      <c r="K21" s="145"/>
      <c r="N21" s="85" t="str">
        <f t="shared" si="0"/>
        <v/>
      </c>
      <c r="O21" t="str">
        <f t="shared" si="1"/>
        <v/>
      </c>
    </row>
    <row r="22" spans="1:15" ht="14.25" customHeight="1" x14ac:dyDescent="0.25">
      <c r="A22" s="485"/>
      <c r="B22" s="493"/>
      <c r="C22" s="493"/>
      <c r="D22" s="493"/>
      <c r="E22" s="494"/>
      <c r="F22" s="260"/>
      <c r="G22" s="497"/>
      <c r="H22" s="498"/>
      <c r="I22" s="486"/>
      <c r="J22" s="499"/>
      <c r="N22" s="85" t="str">
        <f t="shared" si="0"/>
        <v/>
      </c>
      <c r="O22" t="str">
        <f t="shared" si="1"/>
        <v/>
      </c>
    </row>
    <row r="23" spans="1:15" ht="14.25" customHeight="1" x14ac:dyDescent="0.25">
      <c r="A23" s="485"/>
      <c r="B23" s="493"/>
      <c r="C23" s="493"/>
      <c r="D23" s="493"/>
      <c r="E23" s="494"/>
      <c r="F23" s="260"/>
      <c r="G23" s="497"/>
      <c r="H23" s="498"/>
      <c r="I23" s="486"/>
      <c r="J23" s="499"/>
      <c r="N23" s="85" t="str">
        <f t="shared" si="0"/>
        <v/>
      </c>
      <c r="O23" t="str">
        <f t="shared" si="1"/>
        <v/>
      </c>
    </row>
    <row r="24" spans="1:15" ht="14.25" customHeight="1" x14ac:dyDescent="0.25">
      <c r="A24" s="485"/>
      <c r="B24" s="493"/>
      <c r="C24" s="493"/>
      <c r="D24" s="493"/>
      <c r="E24" s="494"/>
      <c r="F24" s="260"/>
      <c r="G24" s="498"/>
      <c r="H24" s="498"/>
      <c r="I24" s="486"/>
      <c r="J24" s="499"/>
      <c r="N24" s="85" t="str">
        <f t="shared" si="0"/>
        <v/>
      </c>
      <c r="O24" t="str">
        <f t="shared" si="1"/>
        <v/>
      </c>
    </row>
    <row r="25" spans="1:15" ht="14.25" customHeight="1" x14ac:dyDescent="0.25">
      <c r="A25" s="485"/>
      <c r="B25" s="493"/>
      <c r="C25" s="493"/>
      <c r="D25" s="493"/>
      <c r="E25" s="494"/>
      <c r="F25" s="260"/>
      <c r="G25" s="498"/>
      <c r="H25" s="498"/>
      <c r="I25" s="486"/>
      <c r="J25" s="499"/>
      <c r="N25" s="85" t="str">
        <f t="shared" si="0"/>
        <v/>
      </c>
      <c r="O25" t="str">
        <f t="shared" si="1"/>
        <v/>
      </c>
    </row>
    <row r="26" spans="1:15" ht="14.25" customHeight="1" x14ac:dyDescent="0.25">
      <c r="A26" s="485"/>
      <c r="B26" s="493"/>
      <c r="C26" s="493"/>
      <c r="D26" s="493"/>
      <c r="E26" s="494"/>
      <c r="F26" s="260"/>
      <c r="G26" s="498"/>
      <c r="H26" s="498"/>
      <c r="I26" s="486"/>
      <c r="J26" s="499"/>
      <c r="N26" s="85" t="str">
        <f t="shared" si="0"/>
        <v/>
      </c>
      <c r="O26" t="str">
        <f t="shared" si="1"/>
        <v/>
      </c>
    </row>
    <row r="27" spans="1:15" ht="14.25" customHeight="1" x14ac:dyDescent="0.25">
      <c r="A27" s="485"/>
      <c r="B27" s="493"/>
      <c r="C27" s="493"/>
      <c r="D27" s="493"/>
      <c r="E27" s="494"/>
      <c r="F27" s="260"/>
      <c r="G27" s="498"/>
      <c r="H27" s="498"/>
      <c r="I27" s="486"/>
      <c r="J27" s="499"/>
      <c r="N27" s="85" t="str">
        <f t="shared" si="0"/>
        <v/>
      </c>
      <c r="O27" t="str">
        <f t="shared" si="1"/>
        <v/>
      </c>
    </row>
    <row r="28" spans="1:15" ht="14.25" customHeight="1" x14ac:dyDescent="0.25">
      <c r="A28" s="485"/>
      <c r="B28" s="493"/>
      <c r="C28" s="493"/>
      <c r="D28" s="493"/>
      <c r="E28" s="494"/>
      <c r="F28" s="260"/>
      <c r="G28" s="498"/>
      <c r="H28" s="498"/>
      <c r="I28" s="486"/>
      <c r="J28" s="499"/>
      <c r="N28" s="85" t="str">
        <f t="shared" si="0"/>
        <v/>
      </c>
      <c r="O28" t="str">
        <f t="shared" si="1"/>
        <v/>
      </c>
    </row>
    <row r="29" spans="1:15" ht="14.25" customHeight="1" x14ac:dyDescent="0.25">
      <c r="A29" s="485"/>
      <c r="B29" s="493"/>
      <c r="C29" s="493"/>
      <c r="D29" s="493"/>
      <c r="E29" s="494"/>
      <c r="F29" s="260"/>
      <c r="G29" s="498"/>
      <c r="H29" s="498"/>
      <c r="I29" s="486"/>
      <c r="J29" s="499"/>
      <c r="N29" s="85" t="str">
        <f t="shared" si="0"/>
        <v/>
      </c>
      <c r="O29" t="str">
        <f t="shared" si="1"/>
        <v/>
      </c>
    </row>
    <row r="30" spans="1:15" ht="14.25" customHeight="1" x14ac:dyDescent="0.25">
      <c r="A30" s="485"/>
      <c r="B30" s="493"/>
      <c r="C30" s="493"/>
      <c r="D30" s="493"/>
      <c r="E30" s="494"/>
      <c r="F30" s="260"/>
      <c r="G30" s="498"/>
      <c r="H30" s="498"/>
      <c r="I30" s="486"/>
      <c r="J30" s="499"/>
      <c r="N30" s="85" t="str">
        <f t="shared" si="0"/>
        <v/>
      </c>
      <c r="O30" t="str">
        <f t="shared" si="1"/>
        <v/>
      </c>
    </row>
    <row r="31" spans="1:15" ht="14.25" customHeight="1" x14ac:dyDescent="0.25">
      <c r="A31" s="485"/>
      <c r="B31" s="493"/>
      <c r="C31" s="493"/>
      <c r="D31" s="493"/>
      <c r="E31" s="494"/>
      <c r="F31" s="260"/>
      <c r="G31" s="498"/>
      <c r="H31" s="498"/>
      <c r="I31" s="486"/>
      <c r="J31" s="499"/>
      <c r="N31" s="85" t="str">
        <f t="shared" si="0"/>
        <v/>
      </c>
      <c r="O31" t="str">
        <f t="shared" si="1"/>
        <v/>
      </c>
    </row>
    <row r="32" spans="1:15" ht="14.25" customHeight="1" x14ac:dyDescent="0.25">
      <c r="A32" s="485"/>
      <c r="B32" s="493"/>
      <c r="C32" s="493"/>
      <c r="D32" s="493"/>
      <c r="E32" s="494"/>
      <c r="F32" s="260"/>
      <c r="G32" s="498"/>
      <c r="H32" s="498"/>
      <c r="I32" s="486"/>
      <c r="J32" s="499"/>
      <c r="N32" s="85" t="str">
        <f t="shared" si="0"/>
        <v/>
      </c>
      <c r="O32" t="str">
        <f t="shared" si="1"/>
        <v/>
      </c>
    </row>
    <row r="33" spans="1:15" ht="14.25" customHeight="1" x14ac:dyDescent="0.25">
      <c r="A33" s="485"/>
      <c r="B33" s="493"/>
      <c r="C33" s="493"/>
      <c r="D33" s="493"/>
      <c r="E33" s="494"/>
      <c r="F33" s="260"/>
      <c r="G33" s="498"/>
      <c r="H33" s="498"/>
      <c r="I33" s="486"/>
      <c r="J33" s="499"/>
      <c r="N33" s="85" t="str">
        <f t="shared" si="0"/>
        <v/>
      </c>
      <c r="O33" t="str">
        <f t="shared" si="1"/>
        <v/>
      </c>
    </row>
    <row r="34" spans="1:15" ht="14.25" customHeight="1" x14ac:dyDescent="0.25">
      <c r="A34" s="485"/>
      <c r="B34" s="339"/>
      <c r="C34" s="339"/>
      <c r="D34" s="339"/>
      <c r="E34" s="362"/>
      <c r="F34" s="260"/>
      <c r="G34" s="492"/>
      <c r="H34" s="487"/>
      <c r="I34" s="486"/>
      <c r="J34" s="487"/>
      <c r="N34" s="85" t="str">
        <f t="shared" si="0"/>
        <v/>
      </c>
      <c r="O34" t="str">
        <f t="shared" si="1"/>
        <v/>
      </c>
    </row>
    <row r="35" spans="1:15" ht="14.25" customHeight="1" x14ac:dyDescent="0.25">
      <c r="A35" s="485"/>
      <c r="B35" s="339"/>
      <c r="C35" s="339"/>
      <c r="D35" s="339"/>
      <c r="E35" s="362"/>
      <c r="F35" s="260"/>
      <c r="G35" s="492"/>
      <c r="H35" s="487"/>
      <c r="I35" s="486"/>
      <c r="J35" s="487"/>
      <c r="N35" s="85" t="str">
        <f t="shared" si="0"/>
        <v/>
      </c>
      <c r="O35" t="str">
        <f t="shared" si="1"/>
        <v/>
      </c>
    </row>
    <row r="36" spans="1:15" ht="14.25" customHeight="1" x14ac:dyDescent="0.25">
      <c r="A36" s="485"/>
      <c r="B36" s="339"/>
      <c r="C36" s="339"/>
      <c r="D36" s="339"/>
      <c r="E36" s="362"/>
      <c r="F36" s="260"/>
      <c r="G36" s="492"/>
      <c r="H36" s="487"/>
      <c r="I36" s="486"/>
      <c r="J36" s="487"/>
      <c r="N36" s="85" t="str">
        <f t="shared" si="0"/>
        <v/>
      </c>
      <c r="O36" t="str">
        <f t="shared" si="1"/>
        <v/>
      </c>
    </row>
    <row r="37" spans="1:15" ht="14.25" customHeight="1" x14ac:dyDescent="0.25">
      <c r="A37" s="485"/>
      <c r="B37" s="339"/>
      <c r="C37" s="339"/>
      <c r="D37" s="339"/>
      <c r="E37" s="362"/>
      <c r="F37" s="260"/>
      <c r="G37" s="492"/>
      <c r="H37" s="487"/>
      <c r="I37" s="486"/>
      <c r="J37" s="487"/>
      <c r="N37" s="85" t="str">
        <f t="shared" si="0"/>
        <v/>
      </c>
      <c r="O37" t="str">
        <f t="shared" si="1"/>
        <v/>
      </c>
    </row>
    <row r="38" spans="1:15" ht="14.25" customHeight="1" x14ac:dyDescent="0.25">
      <c r="A38" s="485"/>
      <c r="B38" s="493"/>
      <c r="C38" s="493"/>
      <c r="D38" s="493"/>
      <c r="E38" s="494"/>
      <c r="F38" s="260"/>
      <c r="G38" s="498"/>
      <c r="H38" s="498"/>
      <c r="I38" s="486"/>
      <c r="J38" s="499"/>
      <c r="N38" s="85" t="str">
        <f t="shared" si="0"/>
        <v/>
      </c>
      <c r="O38" t="str">
        <f t="shared" si="1"/>
        <v/>
      </c>
    </row>
    <row r="39" spans="1:15" ht="14.25" customHeight="1" x14ac:dyDescent="0.25">
      <c r="A39" s="485"/>
      <c r="B39" s="493"/>
      <c r="C39" s="493"/>
      <c r="D39" s="493"/>
      <c r="E39" s="494"/>
      <c r="F39" s="260"/>
      <c r="G39" s="498"/>
      <c r="H39" s="498"/>
      <c r="I39" s="486"/>
      <c r="J39" s="499"/>
      <c r="N39" s="85" t="str">
        <f t="shared" si="0"/>
        <v/>
      </c>
      <c r="O39" t="str">
        <f t="shared" si="1"/>
        <v/>
      </c>
    </row>
    <row r="40" spans="1:15" ht="14.25" customHeight="1" x14ac:dyDescent="0.25">
      <c r="A40" s="485"/>
      <c r="B40" s="493"/>
      <c r="C40" s="493"/>
      <c r="D40" s="493"/>
      <c r="E40" s="494"/>
      <c r="F40" s="260"/>
      <c r="G40" s="498"/>
      <c r="H40" s="498"/>
      <c r="I40" s="486"/>
      <c r="J40" s="499"/>
      <c r="N40" s="85" t="str">
        <f t="shared" si="0"/>
        <v/>
      </c>
      <c r="O40" t="str">
        <f t="shared" si="1"/>
        <v/>
      </c>
    </row>
    <row r="41" spans="1:15" ht="14.25" customHeight="1" x14ac:dyDescent="0.25">
      <c r="A41" s="485"/>
      <c r="B41" s="493"/>
      <c r="C41" s="493"/>
      <c r="D41" s="493"/>
      <c r="E41" s="494"/>
      <c r="F41" s="260"/>
      <c r="G41" s="498"/>
      <c r="H41" s="498"/>
      <c r="I41" s="486"/>
      <c r="J41" s="499"/>
      <c r="N41" s="85" t="str">
        <f t="shared" si="0"/>
        <v/>
      </c>
      <c r="O41" t="str">
        <f t="shared" si="1"/>
        <v/>
      </c>
    </row>
    <row r="42" spans="1:15" ht="14.25" customHeight="1" x14ac:dyDescent="0.25">
      <c r="A42" s="485"/>
      <c r="B42" s="493"/>
      <c r="C42" s="493"/>
      <c r="D42" s="493"/>
      <c r="E42" s="494"/>
      <c r="F42" s="260"/>
      <c r="G42" s="497"/>
      <c r="H42" s="498"/>
      <c r="I42" s="486"/>
      <c r="J42" s="499"/>
      <c r="N42" s="85" t="str">
        <f t="shared" si="0"/>
        <v/>
      </c>
      <c r="O42" t="str">
        <f t="shared" si="1"/>
        <v/>
      </c>
    </row>
    <row r="43" spans="1:15" ht="17.25" customHeight="1" x14ac:dyDescent="0.35">
      <c r="A43" s="295" t="str">
        <f>IF(I42&gt;0,"Please Start Another Current Year Charges Form","")</f>
        <v/>
      </c>
      <c r="G43" s="489" t="s">
        <v>96</v>
      </c>
      <c r="H43" s="480"/>
      <c r="I43" s="524">
        <f>IF(AND(A11="",A10=""),IF(A11="",SUM(I19:J42)),0)</f>
        <v>0</v>
      </c>
      <c r="J43" s="525"/>
    </row>
    <row r="44" spans="1:15" ht="17.25" customHeight="1" x14ac:dyDescent="0.25">
      <c r="A44" s="294" t="s">
        <v>276</v>
      </c>
      <c r="J44" s="74" t="str">
        <f>Eligibility!U42</f>
        <v>created 11/12</v>
      </c>
    </row>
    <row r="45" spans="1:15" ht="17.25" customHeight="1" x14ac:dyDescent="0.25"/>
  </sheetData>
  <sheetProtection sheet="1" objects="1" scenarios="1"/>
  <mergeCells count="94">
    <mergeCell ref="G41:H41"/>
    <mergeCell ref="A42:E42"/>
    <mergeCell ref="A25:E25"/>
    <mergeCell ref="A26:E26"/>
    <mergeCell ref="A39:E39"/>
    <mergeCell ref="A40:E40"/>
    <mergeCell ref="A41:E41"/>
    <mergeCell ref="A30:E30"/>
    <mergeCell ref="A31:E31"/>
    <mergeCell ref="A32:E32"/>
    <mergeCell ref="A33:E33"/>
    <mergeCell ref="A38:E38"/>
    <mergeCell ref="A29:E29"/>
    <mergeCell ref="A27:E27"/>
    <mergeCell ref="G34:H34"/>
    <mergeCell ref="G35:H35"/>
    <mergeCell ref="I41:J41"/>
    <mergeCell ref="I42:J42"/>
    <mergeCell ref="G24:H24"/>
    <mergeCell ref="G25:H25"/>
    <mergeCell ref="G26:H26"/>
    <mergeCell ref="G27:H27"/>
    <mergeCell ref="G28:H28"/>
    <mergeCell ref="G29:H29"/>
    <mergeCell ref="G30:H30"/>
    <mergeCell ref="G31:H31"/>
    <mergeCell ref="G32:H32"/>
    <mergeCell ref="G42:H42"/>
    <mergeCell ref="G33:H33"/>
    <mergeCell ref="G38:H38"/>
    <mergeCell ref="G39:H39"/>
    <mergeCell ref="G40:H40"/>
    <mergeCell ref="I43:J43"/>
    <mergeCell ref="A18:D18"/>
    <mergeCell ref="I18:J18"/>
    <mergeCell ref="A19:E19"/>
    <mergeCell ref="A20:E20"/>
    <mergeCell ref="I26:J26"/>
    <mergeCell ref="I38:J38"/>
    <mergeCell ref="I39:J39"/>
    <mergeCell ref="I40:J40"/>
    <mergeCell ref="I31:J31"/>
    <mergeCell ref="I32:J32"/>
    <mergeCell ref="I33:J33"/>
    <mergeCell ref="I28:J28"/>
    <mergeCell ref="I29:J29"/>
    <mergeCell ref="I30:J30"/>
    <mergeCell ref="A28:E28"/>
    <mergeCell ref="A21:E21"/>
    <mergeCell ref="A22:E22"/>
    <mergeCell ref="G19:H19"/>
    <mergeCell ref="G20:H20"/>
    <mergeCell ref="G21:H21"/>
    <mergeCell ref="G22:H22"/>
    <mergeCell ref="I19:J19"/>
    <mergeCell ref="I20:J20"/>
    <mergeCell ref="A2:B2"/>
    <mergeCell ref="D7:E7"/>
    <mergeCell ref="I1:J1"/>
    <mergeCell ref="I2:J2"/>
    <mergeCell ref="I15:J15"/>
    <mergeCell ref="A3:K3"/>
    <mergeCell ref="A1:B1"/>
    <mergeCell ref="B13:C13"/>
    <mergeCell ref="I13:J13"/>
    <mergeCell ref="A6:C6"/>
    <mergeCell ref="G6:H6"/>
    <mergeCell ref="D6:E6"/>
    <mergeCell ref="G15:H15"/>
    <mergeCell ref="G13:H13"/>
    <mergeCell ref="D1:E1"/>
    <mergeCell ref="D2:E2"/>
    <mergeCell ref="G43:H43"/>
    <mergeCell ref="I11:J11"/>
    <mergeCell ref="G36:H36"/>
    <mergeCell ref="G37:H37"/>
    <mergeCell ref="A23:E23"/>
    <mergeCell ref="A24:E24"/>
    <mergeCell ref="B15:C15"/>
    <mergeCell ref="G23:H23"/>
    <mergeCell ref="I25:J25"/>
    <mergeCell ref="I27:J27"/>
    <mergeCell ref="I21:J21"/>
    <mergeCell ref="I24:J24"/>
    <mergeCell ref="I22:J22"/>
    <mergeCell ref="I23:J23"/>
    <mergeCell ref="A34:E34"/>
    <mergeCell ref="A35:E35"/>
    <mergeCell ref="A36:E36"/>
    <mergeCell ref="A37:E37"/>
    <mergeCell ref="I34:J34"/>
    <mergeCell ref="I35:J35"/>
    <mergeCell ref="I36:J36"/>
    <mergeCell ref="I37:J37"/>
  </mergeCells>
  <dataValidations count="1">
    <dataValidation type="list" allowBlank="1" showInputMessage="1" showErrorMessage="1" sqref="B8" xr:uid="{00000000-0002-0000-0500-000000000000}">
      <formula1>$M$7:$M$8</formula1>
    </dataValidation>
  </dataValidations>
  <pageMargins left="0.5" right="0.5" top="0.5" bottom="0.5" header="0.3" footer="0.3"/>
  <pageSetup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M48"/>
  <sheetViews>
    <sheetView zoomScaleNormal="100" workbookViewId="0">
      <selection sqref="A1:B1"/>
    </sheetView>
  </sheetViews>
  <sheetFormatPr defaultRowHeight="12.5" x14ac:dyDescent="0.25"/>
  <cols>
    <col min="1" max="1" width="6.36328125" style="77" customWidth="1"/>
    <col min="2" max="2" width="12.08984375" customWidth="1"/>
    <col min="3" max="3" width="9.08984375" customWidth="1"/>
    <col min="4" max="4" width="12.36328125" customWidth="1"/>
    <col min="5" max="9" width="7.90625" customWidth="1"/>
    <col min="10" max="11" width="11.453125" customWidth="1"/>
    <col min="12" max="12" width="12.453125" customWidth="1"/>
    <col min="13" max="13" width="9.08984375" hidden="1" customWidth="1"/>
    <col min="14" max="14" width="0" hidden="1" customWidth="1"/>
  </cols>
  <sheetData>
    <row r="1" spans="1:13" ht="39.75" customHeight="1" thickBot="1" x14ac:dyDescent="0.3">
      <c r="A1" s="446" t="str">
        <f>IF(AND(Eligibility!H1="",Eligibility!A1=""),"No Name Please Fill Out Eligibility Tab",IF(NOT(Eligibility!A1=""),Eligibility!A1,""))</f>
        <v>No Name Please Fill Out Eligibility Tab</v>
      </c>
      <c r="B1" s="447"/>
      <c r="C1" s="279"/>
      <c r="D1" s="466" t="str">
        <f>IF(AND(Eligibility!H1="",Eligibility!A1=""),"No Case # Please Fill Out Eligibility Tab",IF(NOT(Eligibility!H1=""),Eligibility!H1,""))</f>
        <v>No Case # Please Fill Out Eligibility Tab</v>
      </c>
      <c r="E1" s="533"/>
      <c r="F1" s="245"/>
      <c r="G1" s="446" t="str">
        <f>IF(Eligibility!O1="","Please Enter Agency Initials on Eligibility tab",Eligibility!O1)</f>
        <v>Please Enter Agency Initials on Eligibility tab</v>
      </c>
      <c r="H1" s="447" t="str">
        <f>IF(Eligibility!P1="","Please Enter Agency Initials on Eligibility tab",Eligibility!P1)</f>
        <v>Please Enter Agency Initials on Eligibility tab</v>
      </c>
      <c r="I1" s="280"/>
      <c r="J1" s="531">
        <f ca="1">TODAY()</f>
        <v>46038</v>
      </c>
      <c r="K1" s="532"/>
    </row>
    <row r="2" spans="1:13" ht="13" thickTop="1" x14ac:dyDescent="0.25">
      <c r="A2" s="566" t="s">
        <v>16</v>
      </c>
      <c r="B2" s="567"/>
      <c r="C2" s="279"/>
      <c r="D2" s="534" t="s">
        <v>17</v>
      </c>
      <c r="E2" s="535"/>
      <c r="F2" s="279"/>
      <c r="G2" s="536" t="s">
        <v>224</v>
      </c>
      <c r="H2" s="537"/>
      <c r="I2" s="280"/>
      <c r="J2" s="375" t="s">
        <v>18</v>
      </c>
      <c r="K2" s="435"/>
    </row>
    <row r="3" spans="1:13" ht="15.5" x14ac:dyDescent="0.35">
      <c r="A3" s="281"/>
      <c r="B3" s="279"/>
      <c r="C3" s="279"/>
      <c r="D3" s="282"/>
      <c r="E3" s="255" t="str">
        <f>IF(AND(A1=0,D1=0),"Please Enter Name or Case # on "&amp;C4&amp;" Tab ",IF(C8="N/A","Please Verify Data on "&amp;C4&amp;" Tab",""))</f>
        <v>Please Verify Data on Eligibility Tab</v>
      </c>
      <c r="F3" s="279"/>
      <c r="G3" s="282"/>
      <c r="H3" s="282"/>
      <c r="I3" s="280"/>
      <c r="J3" s="76"/>
    </row>
    <row r="4" spans="1:13" x14ac:dyDescent="0.25">
      <c r="A4" s="562" t="s">
        <v>97</v>
      </c>
      <c r="B4" s="563"/>
      <c r="C4" s="283" t="s">
        <v>232</v>
      </c>
      <c r="D4" s="284" t="s">
        <v>98</v>
      </c>
      <c r="E4" s="285"/>
      <c r="F4" s="279"/>
      <c r="G4" s="282"/>
      <c r="H4" s="282"/>
      <c r="I4" s="280"/>
      <c r="J4" s="76"/>
    </row>
    <row r="5" spans="1:13" ht="17.5" x14ac:dyDescent="0.35">
      <c r="A5" s="146" t="str">
        <f>IF(C9="Cat 1","Client has no Annual Cap, NO CHARGES NECESSARY",IF(AND(COUNTA(A12:A33)&lt;1,COUNT(A12:A33)&lt;1),"Please Choose Service",""))</f>
        <v>Please Choose Service</v>
      </c>
      <c r="B5" s="280"/>
      <c r="C5" s="280"/>
      <c r="D5" s="280"/>
      <c r="E5" s="280"/>
      <c r="F5" s="280"/>
      <c r="G5" s="280"/>
      <c r="H5" s="286" t="str">
        <f>IF(AND(LEFT(C4,1)="a",LEFT(Eligibility!M28,1)="I"),"Income Exceeded",IF(AND(LEFT(C4,1)="m",LEFT(EligReCert!M24)="I"),"Income Exceeded",""))</f>
        <v/>
      </c>
      <c r="I5" s="280"/>
      <c r="J5" s="1"/>
    </row>
    <row r="6" spans="1:13" ht="25.5" customHeight="1" thickBot="1" x14ac:dyDescent="0.3">
      <c r="A6" s="273"/>
      <c r="B6" s="540" t="s">
        <v>256</v>
      </c>
      <c r="C6" s="540"/>
      <c r="D6" s="541"/>
      <c r="E6" s="541"/>
      <c r="F6" s="541"/>
      <c r="G6" s="541"/>
      <c r="H6" s="541"/>
      <c r="I6" s="541"/>
      <c r="J6" s="541"/>
      <c r="K6" s="542"/>
    </row>
    <row r="7" spans="1:13" ht="13" thickTop="1" x14ac:dyDescent="0.25">
      <c r="A7" s="206"/>
      <c r="B7" s="78"/>
      <c r="C7" s="78"/>
      <c r="D7" s="564" t="s">
        <v>57</v>
      </c>
      <c r="E7" s="556">
        <f>Eligibility!B62</f>
        <v>0</v>
      </c>
      <c r="F7" s="556">
        <f>Eligibility!F62</f>
        <v>0.01</v>
      </c>
      <c r="G7" s="556">
        <f>Eligibility!I62</f>
        <v>0.02</v>
      </c>
      <c r="H7" s="556">
        <f>Eligibility!M62</f>
        <v>0.03</v>
      </c>
      <c r="I7" s="556">
        <f>Eligibility!P62</f>
        <v>0.05</v>
      </c>
      <c r="J7" s="117">
        <f>Eligibility!S62</f>
        <v>0.1</v>
      </c>
      <c r="K7" s="198">
        <v>1</v>
      </c>
      <c r="M7" s="85" t="s">
        <v>232</v>
      </c>
    </row>
    <row r="8" spans="1:13" ht="25" x14ac:dyDescent="0.25">
      <c r="A8" s="207"/>
      <c r="B8" s="80" t="s">
        <v>11</v>
      </c>
      <c r="C8" s="132" t="str">
        <f>IF(AND(LEFT(C4,5)="Eligi",Eligibility!I59&gt;=0),Eligibility!I59,"Choose Tab")</f>
        <v>N/A</v>
      </c>
      <c r="D8" s="565"/>
      <c r="E8" s="557"/>
      <c r="F8" s="557"/>
      <c r="G8" s="557"/>
      <c r="H8" s="557"/>
      <c r="I8" s="557"/>
      <c r="J8" s="118" t="s">
        <v>134</v>
      </c>
      <c r="K8" s="199" t="s">
        <v>135</v>
      </c>
      <c r="M8" s="85"/>
    </row>
    <row r="9" spans="1:13" ht="25" x14ac:dyDescent="0.25">
      <c r="A9" s="207"/>
      <c r="B9" s="80" t="s">
        <v>10</v>
      </c>
      <c r="C9" s="133" t="str">
        <f>IF(AND(LEFT(C4,5)="Eligi",Eligibility!I59&gt;=0),Eligibility!B59,"Choose Tab")</f>
        <v>N/A</v>
      </c>
      <c r="D9" s="80" t="s">
        <v>10</v>
      </c>
      <c r="E9" s="79">
        <v>1</v>
      </c>
      <c r="F9" s="79">
        <v>2</v>
      </c>
      <c r="G9" s="79">
        <v>3</v>
      </c>
      <c r="H9" s="79">
        <v>4</v>
      </c>
      <c r="I9" s="79">
        <v>5</v>
      </c>
      <c r="J9" s="79">
        <v>6</v>
      </c>
      <c r="K9" s="200"/>
    </row>
    <row r="10" spans="1:13" ht="28.5" customHeight="1" x14ac:dyDescent="0.25">
      <c r="A10" s="208"/>
      <c r="B10" s="83"/>
      <c r="C10" s="84"/>
      <c r="D10" s="173" t="s">
        <v>8</v>
      </c>
      <c r="E10" s="277" t="s">
        <v>78</v>
      </c>
      <c r="F10" s="277" t="s">
        <v>204</v>
      </c>
      <c r="G10" s="277" t="s">
        <v>205</v>
      </c>
      <c r="H10" s="277" t="s">
        <v>79</v>
      </c>
      <c r="I10" s="277" t="s">
        <v>80</v>
      </c>
      <c r="J10" s="277" t="s">
        <v>81</v>
      </c>
      <c r="K10" s="201" t="s">
        <v>131</v>
      </c>
    </row>
    <row r="11" spans="1:13" ht="27" customHeight="1" thickBot="1" x14ac:dyDescent="0.3">
      <c r="A11" s="209" t="s">
        <v>82</v>
      </c>
      <c r="B11" s="550" t="s">
        <v>58</v>
      </c>
      <c r="C11" s="551"/>
      <c r="D11" s="119" t="s">
        <v>119</v>
      </c>
      <c r="E11" s="82"/>
      <c r="F11" s="82"/>
      <c r="G11" s="82"/>
      <c r="H11" s="82"/>
      <c r="I11" s="82"/>
      <c r="J11" s="82"/>
      <c r="K11" s="202"/>
    </row>
    <row r="12" spans="1:13" ht="15" customHeight="1" thickBot="1" x14ac:dyDescent="0.3">
      <c r="A12" s="210"/>
      <c r="B12" s="552" t="s">
        <v>59</v>
      </c>
      <c r="C12" s="553"/>
      <c r="D12" s="299">
        <v>150</v>
      </c>
      <c r="E12" s="134" t="str">
        <f>IF($A12="","",IF(LEFT(C$8,1)="C","",IF(OR(AND(RIGHT(Eligibility!$M$28,1)="Y",LEFT($C$4,1)="A",$C$9="Cat 1"),AND(RIGHT(EligReCert!$M$24,1)="Y",LEFT($C$4,1)="M",$C$9="Cat 1")),"Not Eligible*",IF($C$9="Cat 1",ROUND($D12*E$7,0),""))))</f>
        <v/>
      </c>
      <c r="F12" s="134" t="str">
        <f>IF($A12="","",IF(LEFT(D$8,1)="C","",IF(OR(AND(RIGHT(Eligibility!$M$28,1)="Y",LEFT($C$4,1)="A",$C$9="Cat 2"),AND(RIGHT(EligReCert!$M$24,1)="Y",LEFT($C$4,1)="M",$C$9="Cat 2")),"Not Eligible*",IF($C$9="Cat 2",ROUND($D12*F$7,0),""))))</f>
        <v/>
      </c>
      <c r="G12" s="134" t="str">
        <f>IF($A12="","",IF(LEFT(E$8,1)="C","",IF(OR(AND(RIGHT(Eligibility!$M$28,1)="Y",LEFT($C$4,1)="A",$C$9="Cat 3"),AND(RIGHT(EligReCert!$M$24,1)="Y",LEFT($C$4,1)="M",$C$9="Cat 3")),"Not Eligible*",IF($C$9="Cat 3",ROUND($D12*G$7,0),""))))</f>
        <v/>
      </c>
      <c r="H12" s="134" t="str">
        <f>IF($A12="","",IF(LEFT(F$8,1)="C","",IF(OR(AND(RIGHT(Eligibility!$M$28,1)="Y",LEFT($C$4,1)="A",$C$9="Cat 4"),AND(RIGHT(EligReCert!$M$24,1)="Y",LEFT($C$4,1)="M",$C$9="Cat 4")),"Not Eligible*",IF($C$9="Cat 4",ROUND($D12*H$7,0),""))))</f>
        <v/>
      </c>
      <c r="I12" s="134" t="str">
        <f>IF($A12="","",IF(LEFT(G$8,1)="C","",IF(OR(AND(RIGHT(Eligibility!$M$28,1)="Y",LEFT($C$4,1)="A",$C$9="Cat 5"),AND(RIGHT(EligReCert!$M$24,1)="Y",LEFT($C$4,1)="M",$C$9="Cat 5")),"Not Eligible*",IF($C$9="Cat 5",ROUND($D12*I$7,0),""))))</f>
        <v/>
      </c>
      <c r="J12" s="134" t="str">
        <f t="shared" ref="J12:J17" si="0">IF($A12="","",IF(LEFT(C$8,1)="C","",IF($C$9="Cat 6","Not Eligible*","")))</f>
        <v/>
      </c>
      <c r="K12" s="203" t="str">
        <f t="shared" ref="K12:K19" si="1">IF($A12="","",IF(LEFT(C$8,1)="C","",IF($C$9="N/A","Not Eligible*","")))</f>
        <v/>
      </c>
    </row>
    <row r="13" spans="1:13" ht="15" customHeight="1" thickBot="1" x14ac:dyDescent="0.3">
      <c r="A13" s="210"/>
      <c r="B13" s="568" t="s">
        <v>60</v>
      </c>
      <c r="C13" s="222" t="s">
        <v>61</v>
      </c>
      <c r="D13" s="299">
        <v>66</v>
      </c>
      <c r="E13" s="134" t="str">
        <f>IF($A13="","",IF(LEFT(C$8,1)="C","",IF(OR(AND(RIGHT(Eligibility!$M$28,1)="Y",LEFT($C$4,1)="A",$C$9="Cat 1"),AND(RIGHT(EligReCert!$M$24,1)="Y",LEFT($C$4,1)="M",$C$9="Cat 1")),"Not Eligible*",IF($C$9="Cat 1",ROUND($D13*E$7,0),""))))</f>
        <v/>
      </c>
      <c r="F13" s="134" t="str">
        <f>IF($A13="","",IF(LEFT(D$8,1)="C","",IF(OR(AND(RIGHT(Eligibility!$M$28,1)="Y",LEFT($C$4,1)="A",$C$9="Cat 2"),AND(RIGHT(EligReCert!$M$24,1)="Y",LEFT($C$4,1)="M",$C$9="Cat 2")),"Not Eligible*",IF($C$9="Cat 2",ROUND($D13*F$7,0),""))))</f>
        <v/>
      </c>
      <c r="G13" s="134" t="str">
        <f>IF($A13="","",IF(LEFT(E$8,1)="C","",IF(OR(AND(RIGHT(Eligibility!$M$28,1)="Y",LEFT($C$4,1)="A",$C$9="Cat 3"),AND(RIGHT(EligReCert!$M$24,1)="Y",LEFT($C$4,1)="M",$C$9="Cat 3")),"Not Eligible*",IF($C$9="Cat 3",ROUND($D13*G$7,0),""))))</f>
        <v/>
      </c>
      <c r="H13" s="134" t="str">
        <f>IF($A13="","",IF(LEFT(F$8,1)="C","",IF(OR(AND(RIGHT(Eligibility!$M$28,1)="Y",LEFT($C$4,1)="A",$C$9="Cat 4"),AND(RIGHT(EligReCert!$M$24,1)="Y",LEFT($C$4,1)="M",$C$9="Cat 4")),"Not Eligible*",IF($C$9="Cat 4",ROUND($D13*H$7,0),""))))</f>
        <v/>
      </c>
      <c r="I13" s="134" t="str">
        <f>IF($A13="","",IF(LEFT(G$8,1)="C","",IF(OR(AND(RIGHT(Eligibility!$M$28,1)="Y",LEFT($C$4,1)="A",$C$9="Cat 5"),AND(RIGHT(EligReCert!$M$24,1)="Y",LEFT($C$4,1)="M",$C$9="Cat 5")),"Not Eligible*",IF($C$9="Cat 5",ROUND($D13*I$7,0),""))))</f>
        <v/>
      </c>
      <c r="J13" s="134" t="str">
        <f t="shared" ref="J13" si="2">IF($A13="","",IF(LEFT(C$8,1)="C","",IF($C$9="Cat 6","Not Eligible*","")))</f>
        <v/>
      </c>
      <c r="K13" s="203" t="str">
        <f t="shared" ref="K13" si="3">IF($A13="","",IF(LEFT(C$8,1)="C","",IF($C$9="N/A","Not Eligible*","")))</f>
        <v/>
      </c>
    </row>
    <row r="14" spans="1:13" ht="15.75" customHeight="1" thickBot="1" x14ac:dyDescent="0.3">
      <c r="A14" s="210"/>
      <c r="B14" s="569"/>
      <c r="C14" s="221" t="s">
        <v>62</v>
      </c>
      <c r="D14" s="299">
        <v>34</v>
      </c>
      <c r="E14" s="134" t="str">
        <f>IF($A14="","",IF(LEFT(C$8,1)="C","",IF(OR(AND(RIGHT(Eligibility!$M$28,1)="Y",LEFT($C$4,1)="A",$C$9="Cat 1"),AND(RIGHT(EligReCert!$M$24,1)="Y",LEFT($C$4,1)="M",$C$9="Cat 1")),"Not Eligible*",IF($C$9="Cat 1",ROUND($D14*E$7,0),""))))</f>
        <v/>
      </c>
      <c r="F14" s="134" t="str">
        <f>IF($A14="","",IF(LEFT(D$8,1)="C","",IF(OR(AND(RIGHT(Eligibility!$M$28,1)="Y",LEFT($C$4,1)="A",$C$9="Cat 2"),AND(RIGHT(EligReCert!$M$24,1)="Y",LEFT($C$4,1)="M",$C$9="Cat 2")),"Not Eligible*",IF($C$9="Cat 2",ROUND($D14*F$7,0),""))))</f>
        <v/>
      </c>
      <c r="G14" s="134" t="str">
        <f>IF($A14="","",IF(LEFT(E$8,1)="C","",IF(OR(AND(RIGHT(Eligibility!$M$28,1)="Y",LEFT($C$4,1)="A",$C$9="Cat 3"),AND(RIGHT(EligReCert!$M$24,1)="Y",LEFT($C$4,1)="M",$C$9="Cat 3")),"Not Eligible*",IF($C$9="Cat 3",ROUND($D14*G$7,0),""))))</f>
        <v/>
      </c>
      <c r="H14" s="134" t="str">
        <f>IF($A14="","",IF(LEFT(F$8,1)="C","",IF(OR(AND(RIGHT(Eligibility!$M$28,1)="Y",LEFT($C$4,1)="A",$C$9="Cat 4"),AND(RIGHT(EligReCert!$M$24,1)="Y",LEFT($C$4,1)="M",$C$9="Cat 4")),"Not Eligible*",IF($C$9="Cat 4",ROUND($D14*H$7,0),""))))</f>
        <v/>
      </c>
      <c r="I14" s="134" t="str">
        <f>IF($A14="","",IF(LEFT(G$8,1)="C","",IF(OR(AND(RIGHT(Eligibility!$M$28,1)="Y",LEFT($C$4,1)="A",$C$9="Cat 5"),AND(RIGHT(EligReCert!$M$24,1)="Y",LEFT($C$4,1)="M",$C$9="Cat 5")),"Not Eligible*",IF($C$9="Cat 5",ROUND($D14*I$7,0),""))))</f>
        <v/>
      </c>
      <c r="J14" s="134" t="str">
        <f t="shared" si="0"/>
        <v/>
      </c>
      <c r="K14" s="203" t="str">
        <f t="shared" si="1"/>
        <v/>
      </c>
    </row>
    <row r="15" spans="1:13" ht="19.5" customHeight="1" thickBot="1" x14ac:dyDescent="0.3">
      <c r="A15" s="210"/>
      <c r="B15" s="548" t="s">
        <v>77</v>
      </c>
      <c r="C15" s="222" t="s">
        <v>61</v>
      </c>
      <c r="D15" s="299">
        <v>79</v>
      </c>
      <c r="E15" s="134" t="str">
        <f>IF($A15="","",IF(LEFT(C$8,1)="C","",IF(OR(AND(RIGHT(Eligibility!$M$28,1)="Y",LEFT($C$4,1)="A",$C$9="Cat 1"),AND(RIGHT(EligReCert!$M$24,1)="Y",LEFT($C$4,1)="M",$C$9="Cat 1")),"Not Eligible*",IF($C$9="Cat 1",ROUND($D15*E$7,0),""))))</f>
        <v/>
      </c>
      <c r="F15" s="134" t="str">
        <f>IF($A15="","",IF(LEFT(D$8,1)="C","",IF(OR(AND(RIGHT(Eligibility!$M$28,1)="Y",LEFT($C$4,1)="A",$C$9="Cat 2"),AND(RIGHT(EligReCert!$M$24,1)="Y",LEFT($C$4,1)="M",$C$9="Cat 2")),"Not Eligible*",IF($C$9="Cat 2",ROUND($D15*F$7,0),""))))</f>
        <v/>
      </c>
      <c r="G15" s="134" t="str">
        <f>IF($A15="","",IF(LEFT(E$8,1)="C","",IF(OR(AND(RIGHT(Eligibility!$M$28,1)="Y",LEFT($C$4,1)="A",$C$9="Cat 3"),AND(RIGHT(EligReCert!$M$24,1)="Y",LEFT($C$4,1)="M",$C$9="Cat 3")),"Not Eligible*",IF($C$9="Cat 3",ROUND($D15*G$7,0),""))))</f>
        <v/>
      </c>
      <c r="H15" s="134" t="str">
        <f>IF($A15="","",IF(LEFT(F$8,1)="C","",IF(OR(AND(RIGHT(Eligibility!$M$28,1)="Y",LEFT($C$4,1)="A",$C$9="Cat 4"),AND(RIGHT(EligReCert!$M$24,1)="Y",LEFT($C$4,1)="M",$C$9="Cat 4")),"Not Eligible*",IF($C$9="Cat 4",ROUND($D15*H$7,0),""))))</f>
        <v/>
      </c>
      <c r="I15" s="134" t="str">
        <f>IF($A15="","",IF(LEFT(G$8,1)="C","",IF(OR(AND(RIGHT(Eligibility!$M$28,1)="Y",LEFT($C$4,1)="A",$C$9="Cat 5"),AND(RIGHT(EligReCert!$M$24,1)="Y",LEFT($C$4,1)="M",$C$9="Cat 5")),"Not Eligible*",IF($C$9="Cat 5",ROUND($D15*I$7,0),""))))</f>
        <v/>
      </c>
      <c r="J15" s="134" t="str">
        <f t="shared" si="0"/>
        <v/>
      </c>
      <c r="K15" s="203" t="str">
        <f t="shared" si="1"/>
        <v/>
      </c>
    </row>
    <row r="16" spans="1:13" ht="19.5" customHeight="1" thickBot="1" x14ac:dyDescent="0.3">
      <c r="A16" s="210"/>
      <c r="B16" s="549"/>
      <c r="C16" s="221" t="s">
        <v>62</v>
      </c>
      <c r="D16" s="300">
        <v>26</v>
      </c>
      <c r="E16" s="134" t="str">
        <f>IF($A16="","",IF(LEFT(C$8,1)="C","",IF(OR(AND(RIGHT(Eligibility!$M$28,1)="Y",LEFT($C$4,1)="A",$C$9="Cat 1"),AND(RIGHT(EligReCert!$M$24,1)="Y",LEFT($C$4,1)="M",$C$9="Cat 1")),"Not Eligible*",IF($C$9="Cat 1",ROUND($D16*E$7,0),""))))</f>
        <v/>
      </c>
      <c r="F16" s="134" t="str">
        <f>IF($A16="","",IF(LEFT(D$8,1)="C","",IF(OR(AND(RIGHT(Eligibility!$M$28,1)="Y",LEFT($C$4,1)="A",$C$9="Cat 2"),AND(RIGHT(EligReCert!$M$24,1)="Y",LEFT($C$4,1)="M",$C$9="Cat 2")),"Not Eligible*",IF($C$9="Cat 2",ROUND($D16*F$7,0),""))))</f>
        <v/>
      </c>
      <c r="G16" s="134" t="str">
        <f>IF($A16="","",IF(LEFT(E$8,1)="C","",IF(OR(AND(RIGHT(Eligibility!$M$28,1)="Y",LEFT($C$4,1)="A",$C$9="Cat 3"),AND(RIGHT(EligReCert!$M$24,1)="Y",LEFT($C$4,1)="M",$C$9="Cat 3")),"Not Eligible*",IF($C$9="Cat 3",ROUND($D16*G$7,0),""))))</f>
        <v/>
      </c>
      <c r="H16" s="134" t="str">
        <f>IF($A16="","",IF(LEFT(F$8,1)="C","",IF(OR(AND(RIGHT(Eligibility!$M$28,1)="Y",LEFT($C$4,1)="A",$C$9="Cat 4"),AND(RIGHT(EligReCert!$M$24,1)="Y",LEFT($C$4,1)="M",$C$9="Cat 4")),"Not Eligible*",IF($C$9="Cat 4",ROUND($D16*H$7,0),""))))</f>
        <v/>
      </c>
      <c r="I16" s="134" t="str">
        <f>IF($A16="","",IF(LEFT(G$8,1)="C","",IF(OR(AND(RIGHT(Eligibility!$M$28,1)="Y",LEFT($C$4,1)="A",$C$9="Cat 5"),AND(RIGHT(EligReCert!$M$24,1)="Y",LEFT($C$4,1)="M",$C$9="Cat 5")),"Not Eligible*",IF($C$9="Cat 5",ROUND($D16*I$7,0),""))))</f>
        <v/>
      </c>
      <c r="J16" s="134" t="str">
        <f t="shared" si="0"/>
        <v/>
      </c>
      <c r="K16" s="203" t="str">
        <f t="shared" si="1"/>
        <v/>
      </c>
    </row>
    <row r="17" spans="1:11" ht="13" thickBot="1" x14ac:dyDescent="0.3">
      <c r="A17" s="210"/>
      <c r="B17" s="552" t="s">
        <v>63</v>
      </c>
      <c r="C17" s="553"/>
      <c r="D17" s="299">
        <v>145</v>
      </c>
      <c r="E17" s="134" t="str">
        <f>IF($A17="","",IF(LEFT(C$8,1)="C","",IF(OR(AND(RIGHT(Eligibility!$M$28,1)="Y",LEFT($C$4,1)="A",$C$9="Cat 1"),AND(RIGHT(EligReCert!$M$24,1)="Y",LEFT($C$4,1)="M",$C$9="Cat 1")),"Not Eligible*",IF($C$9="Cat 1",ROUND($D17*E$7,0),""))))</f>
        <v/>
      </c>
      <c r="F17" s="134" t="str">
        <f>IF($A17="","",IF(LEFT(D$8,1)="C","",IF(OR(AND(RIGHT(Eligibility!$M$28,1)="Y",LEFT($C$4,1)="A",$C$9="Cat 2"),AND(RIGHT(EligReCert!$M$24,1)="Y",LEFT($C$4,1)="M",$C$9="Cat 2")),"Not Eligible*",IF($C$9="Cat 2",ROUND($D17*F$7,0),""))))</f>
        <v/>
      </c>
      <c r="G17" s="134" t="str">
        <f>IF($A17="","",IF(LEFT(E$8,1)="C","",IF(OR(AND(RIGHT(Eligibility!$M$28,1)="Y",LEFT($C$4,1)="A",$C$9="Cat 3"),AND(RIGHT(EligReCert!$M$24,1)="Y",LEFT($C$4,1)="M",$C$9="Cat 3")),"Not Eligible*",IF($C$9="Cat 3",ROUND($D17*G$7,0),""))))</f>
        <v/>
      </c>
      <c r="H17" s="134" t="str">
        <f>IF($A17="","",IF(LEFT(F$8,1)="C","",IF(OR(AND(RIGHT(Eligibility!$M$28,1)="Y",LEFT($C$4,1)="A",$C$9="Cat 4"),AND(RIGHT(EligReCert!$M$24,1)="Y",LEFT($C$4,1)="M",$C$9="Cat 4")),"Not Eligible*",IF($C$9="Cat 4",ROUND($D17*H$7,0),""))))</f>
        <v/>
      </c>
      <c r="I17" s="134" t="str">
        <f>IF($A17="","",IF(LEFT(G$8,1)="C","",IF(OR(AND(RIGHT(Eligibility!$M$28,1)="Y",LEFT($C$4,1)="A",$C$9="Cat 5"),AND(RIGHT(EligReCert!$M$24,1)="Y",LEFT($C$4,1)="M",$C$9="Cat 5")),"Not Eligible*",IF($C$9="Cat 5",ROUND($D17*I$7,0),""))))</f>
        <v/>
      </c>
      <c r="J17" s="134" t="str">
        <f t="shared" si="0"/>
        <v/>
      </c>
      <c r="K17" s="203" t="str">
        <f t="shared" si="1"/>
        <v/>
      </c>
    </row>
    <row r="18" spans="1:11" ht="26.25" customHeight="1" thickBot="1" x14ac:dyDescent="0.3">
      <c r="A18" s="210"/>
      <c r="B18" s="543" t="s">
        <v>64</v>
      </c>
      <c r="C18" s="547"/>
      <c r="D18" s="299">
        <v>0</v>
      </c>
      <c r="E18" s="134" t="str">
        <f>IF($A18="","",IF(LEFT(C$8,1)="C","",IF(OR(AND(RIGHT(Eligibility!$M$28,1)="Y",LEFT($C$4,1)="A",$C$9="Cat 1"),AND(RIGHT(EligReCert!$M$24,1)="Y",LEFT($C$4,1)="M",$C$9="Cat 1")),"Not Eligible*",IF($C$9="Cat 1",ROUND($D18*E$7,0),""))))</f>
        <v/>
      </c>
      <c r="F18" s="134" t="str">
        <f>IF($A18="","",IF(LEFT(D$8,1)="C","",IF(OR(AND(RIGHT(Eligibility!$M$28,1)="Y",LEFT($C$4,1)="A",$C$9="Cat 2"),AND(RIGHT(EligReCert!$M$24,1)="Y",LEFT($C$4,1)="M",$C$9="Cat 2")),"Not Eligible*",IF($C$9="Cat 2",ROUND($D18*F$7,0),""))))</f>
        <v/>
      </c>
      <c r="G18" s="134" t="str">
        <f>IF($A18="","",IF(LEFT(E$8,1)="C","",IF(OR(AND(RIGHT(Eligibility!$M$28,1)="Y",LEFT($C$4,1)="A",$C$9="Cat 3"),AND(RIGHT(EligReCert!$M$24,1)="Y",LEFT($C$4,1)="M",$C$9="Cat 3")),"Not Eligible*",IF($C$9="Cat 3",ROUND($D18*G$7,0),""))))</f>
        <v/>
      </c>
      <c r="H18" s="134" t="str">
        <f>IF($A18="","",IF(LEFT(F$8,1)="C","",IF(OR(AND(RIGHT(Eligibility!$M$28,1)="Y",LEFT($C$4,1)="A",$C$9="Cat 4"),AND(RIGHT(EligReCert!$M$24,1)="Y",LEFT($C$4,1)="M",$C$9="Cat 4")),"Not Eligible*",IF($C$9="Cat 4",ROUND($D18*H$7,0),""))))</f>
        <v/>
      </c>
      <c r="I18" s="134" t="str">
        <f>IF($A18="","",IF(LEFT(G$8,1)="C","",IF(OR(AND(RIGHT(Eligibility!$M$28,1)="Y",LEFT($C$4,1)="A",$C$9="Cat 5"),AND(RIGHT(EligReCert!$M$24,1)="Y",LEFT($C$4,1)="M",$C$9="Cat 5")),"Not Eligible*",IF($C$9="Cat 5",ROUND($D18*I$7,0),""))))</f>
        <v/>
      </c>
      <c r="J18" s="134" t="str">
        <f>IF($A18="","",IF(LEFT(C$8,1)="C","",IF($C$9="Cat 6",ROUND($D18*J$7,0),"")))</f>
        <v/>
      </c>
      <c r="K18" s="203" t="str">
        <f>IF($A18="","",IF(LEFT(C$8,1)="C","",IF($C$9="N/A",ROUND($D18*K$7,0),"")))</f>
        <v/>
      </c>
    </row>
    <row r="19" spans="1:11" ht="27" customHeight="1" thickBot="1" x14ac:dyDescent="0.3">
      <c r="A19" s="210"/>
      <c r="B19" s="543" t="s">
        <v>65</v>
      </c>
      <c r="C19" s="547"/>
      <c r="D19" s="299">
        <v>60</v>
      </c>
      <c r="E19" s="134" t="str">
        <f>IF($A19="","",IF(LEFT(C$8,1)="C","",IF(OR(AND(RIGHT(Eligibility!$M$28,1)="Y",LEFT($C$4,1)="A",$C$9="Cat 1"),AND(RIGHT(EligReCert!$M$24,1)="Y",LEFT($C$4,1)="M",$C$9="Cat 1")),"Not Eligible*",IF($C$9="Cat 1",ROUND($D19*E$7,0),""))))</f>
        <v/>
      </c>
      <c r="F19" s="134" t="str">
        <f>IF($A19="","",IF(LEFT(D$8,1)="C","",IF(OR(AND(RIGHT(Eligibility!$M$28,1)="Y",LEFT($C$4,1)="A",$C$9="Cat 2"),AND(RIGHT(EligReCert!$M$24,1)="Y",LEFT($C$4,1)="M",$C$9="Cat 2")),"Not Eligible*",IF($C$9="Cat 2",ROUND($D19*F$7,0),""))))</f>
        <v/>
      </c>
      <c r="G19" s="134" t="str">
        <f>IF($A19="","",IF(LEFT(E$8,1)="C","",IF(OR(AND(RIGHT(Eligibility!$M$28,1)="Y",LEFT($C$4,1)="A",$C$9="Cat 3"),AND(RIGHT(EligReCert!$M$24,1)="Y",LEFT($C$4,1)="M",$C$9="Cat 3")),"Not Eligible*",IF($C$9="Cat 3",ROUND($D19*G$7,0),""))))</f>
        <v/>
      </c>
      <c r="H19" s="134" t="str">
        <f>IF($A19="","",IF(LEFT(F$8,1)="C","",IF(OR(AND(RIGHT(Eligibility!$M$28,1)="Y",LEFT($C$4,1)="A",$C$9="Cat 4"),AND(RIGHT(EligReCert!$M$24,1)="Y",LEFT($C$4,1)="M",$C$9="Cat 4")),"Not Eligible*",IF($C$9="Cat 4",ROUND($D19*H$7,0),""))))</f>
        <v/>
      </c>
      <c r="I19" s="134" t="str">
        <f>IF($A19="","",IF(LEFT(G$8,1)="C","",IF(OR(AND(RIGHT(Eligibility!$M$28,1)="Y",LEFT($C$4,1)="A",$C$9="Cat 5"),AND(RIGHT(EligReCert!$M$24,1)="Y",LEFT($C$4,1)="M",$C$9="Cat 5")),"Not Eligible*",IF($C$9="Cat 5",ROUND($D19*I$7,0),""))))</f>
        <v/>
      </c>
      <c r="J19" s="134" t="str">
        <f t="shared" ref="J19:J33" si="4">IF($A19="","",IF(LEFT(C$8,1)="C","",IF($C$9="Cat 6","Not Eligible*","")))</f>
        <v/>
      </c>
      <c r="K19" s="203" t="str">
        <f t="shared" si="1"/>
        <v/>
      </c>
    </row>
    <row r="20" spans="1:11" ht="13" thickBot="1" x14ac:dyDescent="0.3">
      <c r="A20" s="210"/>
      <c r="B20" s="543" t="s">
        <v>66</v>
      </c>
      <c r="C20" s="547"/>
      <c r="D20" s="299">
        <v>0</v>
      </c>
      <c r="E20" s="134" t="str">
        <f>IF($A20="","",IF(LEFT(C$8,1)="C","",IF(OR(AND(RIGHT(Eligibility!$M$28,1)="Y",LEFT($C$4,1)="A",$C$9="Cat 1"),AND(RIGHT(EligReCert!$M$24,1)="Y",LEFT($C$4,1)="M",$C$9="Cat 1")),"Not Eligible*",IF($C$9="Cat 1",ROUND($D20*E$7,0),""))))</f>
        <v/>
      </c>
      <c r="F20" s="134" t="str">
        <f>IF($A20="","",IF(LEFT(D$8,1)="C","",IF(OR(AND(RIGHT(Eligibility!$M$28,1)="Y",LEFT($C$4,1)="A",$C$9="Cat 2"),AND(RIGHT(EligReCert!$M$24,1)="Y",LEFT($C$4,1)="M",$C$9="Cat 2")),"Not Eligible*",IF($C$9="Cat 2",ROUND($D20*F$7,0),""))))</f>
        <v/>
      </c>
      <c r="G20" s="134" t="str">
        <f>IF($A20="","",IF(LEFT(E$8,1)="C","",IF(OR(AND(RIGHT(Eligibility!$M$28,1)="Y",LEFT($C$4,1)="A",$C$9="Cat 3"),AND(RIGHT(EligReCert!$M$24,1)="Y",LEFT($C$4,1)="M",$C$9="Cat 3")),"Not Eligible*",IF($C$9="Cat 3",ROUND($D20*G$7,0),""))))</f>
        <v/>
      </c>
      <c r="H20" s="134" t="str">
        <f>IF($A20="","",IF(LEFT(F$8,1)="C","",IF(OR(AND(RIGHT(Eligibility!$M$28,1)="Y",LEFT($C$4,1)="A",$C$9="Cat 4"),AND(RIGHT(EligReCert!$M$24,1)="Y",LEFT($C$4,1)="M",$C$9="Cat 4")),"Not Eligible*",IF($C$9="Cat 4",ROUND($D20*H$7,0),""))))</f>
        <v/>
      </c>
      <c r="I20" s="134" t="str">
        <f>IF($A20="","",IF(LEFT(G$8,1)="C","",IF(OR(AND(RIGHT(Eligibility!$M$28,1)="Y",LEFT($C$4,1)="A",$C$9="Cat 5"),AND(RIGHT(EligReCert!$M$24,1)="Y",LEFT($C$4,1)="M",$C$9="Cat 5")),"Not Eligible*",IF($C$9="Cat 5",ROUND($D20*I$7,0),""))))</f>
        <v/>
      </c>
      <c r="J20" s="134" t="str">
        <f t="shared" si="4"/>
        <v/>
      </c>
      <c r="K20" s="203" t="str">
        <f t="shared" ref="K20:K33" si="5">IF($A20="","",IF(LEFT(C$8,1)="C","",IF($C$9="N/A","Not Eligible*","")))</f>
        <v/>
      </c>
    </row>
    <row r="21" spans="1:11" ht="13" thickBot="1" x14ac:dyDescent="0.3">
      <c r="A21" s="210"/>
      <c r="B21" s="543" t="s">
        <v>67</v>
      </c>
      <c r="C21" s="547"/>
      <c r="D21" s="301">
        <v>0</v>
      </c>
      <c r="E21" s="134" t="str">
        <f>IF($A21="","",IF(LEFT(C$8,1)="C","",IF(OR(AND(RIGHT(Eligibility!$M$28,1)="Y",LEFT($C$4,1)="A",$C$9="Cat 1"),AND(RIGHT(EligReCert!$M$24,1)="Y",LEFT($C$4,1)="M",$C$9="Cat 1")),"Not Eligible*",IF($C$9="Cat 1",ROUND($D21*E$7,0),""))))</f>
        <v/>
      </c>
      <c r="F21" s="134" t="str">
        <f>IF($A21="","",IF(LEFT(D$8,1)="C","",IF(OR(AND(RIGHT(Eligibility!$M$28,1)="Y",LEFT($C$4,1)="A",$C$9="Cat 2"),AND(RIGHT(EligReCert!$M$24,1)="Y",LEFT($C$4,1)="M",$C$9="Cat 2")),"Not Eligible*",IF($C$9="Cat 2",ROUND($D21*F$7,0),""))))</f>
        <v/>
      </c>
      <c r="G21" s="134" t="str">
        <f>IF($A21="","",IF(LEFT(E$8,1)="C","",IF(OR(AND(RIGHT(Eligibility!$M$28,1)="Y",LEFT($C$4,1)="A",$C$9="Cat 3"),AND(RIGHT(EligReCert!$M$24,1)="Y",LEFT($C$4,1)="M",$C$9="Cat 3")),"Not Eligible*",IF($C$9="Cat 3",ROUND($D21*G$7,0),""))))</f>
        <v/>
      </c>
      <c r="H21" s="134" t="str">
        <f>IF($A21="","",IF(LEFT(F$8,1)="C","",IF(OR(AND(RIGHT(Eligibility!$M$28,1)="Y",LEFT($C$4,1)="A",$C$9="Cat 4"),AND(RIGHT(EligReCert!$M$24,1)="Y",LEFT($C$4,1)="M",$C$9="Cat 4")),"Not Eligible*",IF($C$9="Cat 4",ROUND($D21*H$7,0),""))))</f>
        <v/>
      </c>
      <c r="I21" s="134" t="str">
        <f>IF($A21="","",IF(LEFT(G$8,1)="C","",IF(OR(AND(RIGHT(Eligibility!$M$28,1)="Y",LEFT($C$4,1)="A",$C$9="Cat 5"),AND(RIGHT(EligReCert!$M$24,1)="Y",LEFT($C$4,1)="M",$C$9="Cat 5")),"Not Eligible*",IF($C$9="Cat 5",ROUND($D21*I$7,0),""))))</f>
        <v/>
      </c>
      <c r="J21" s="134" t="str">
        <f t="shared" si="4"/>
        <v/>
      </c>
      <c r="K21" s="203" t="str">
        <f t="shared" si="5"/>
        <v/>
      </c>
    </row>
    <row r="22" spans="1:11" ht="24.75" customHeight="1" thickBot="1" x14ac:dyDescent="0.3">
      <c r="A22" s="210"/>
      <c r="B22" s="543" t="s">
        <v>303</v>
      </c>
      <c r="C22" s="544"/>
      <c r="D22" s="299">
        <v>0</v>
      </c>
      <c r="E22" s="134" t="str">
        <f>IF($A22="","",IF(LEFT(C$8,1)="C","",IF(OR(AND(RIGHT(Eligibility!$M$28,1)="Y",LEFT($C$4,1)="A",$C$9="Cat 1"),AND(RIGHT(EligReCert!$M$24,1)="Y",LEFT($C$4,1)="M",$C$9="Cat 1")),"Not Eligible*",IF($C$9="Cat 1",ROUND($D22*E$7,0),""))))</f>
        <v/>
      </c>
      <c r="F22" s="134" t="str">
        <f>IF($A22="","",IF(LEFT(D$8,1)="C","",IF(OR(AND(RIGHT(Eligibility!$M$28,1)="Y",LEFT($C$4,1)="A",$C$9="Cat 2"),AND(RIGHT(EligReCert!$M$24,1)="Y",LEFT($C$4,1)="M",$C$9="Cat 2")),"Not Eligible*",IF($C$9="Cat 2",ROUND($D22*F$7,0),""))))</f>
        <v/>
      </c>
      <c r="G22" s="134" t="str">
        <f>IF($A22="","",IF(LEFT(E$8,1)="C","",IF(OR(AND(RIGHT(Eligibility!$M$28,1)="Y",LEFT($C$4,1)="A",$C$9="Cat 3"),AND(RIGHT(EligReCert!$M$24,1)="Y",LEFT($C$4,1)="M",$C$9="Cat 3")),"Not Eligible*",IF($C$9="Cat 3",ROUND($D22*G$7,0),""))))</f>
        <v/>
      </c>
      <c r="H22" s="134" t="str">
        <f>IF($A22="","",IF(LEFT(F$8,1)="C","",IF(OR(AND(RIGHT(Eligibility!$M$28,1)="Y",LEFT($C$4,1)="A",$C$9="Cat 4"),AND(RIGHT(EligReCert!$M$24,1)="Y",LEFT($C$4,1)="M",$C$9="Cat 4")),"Not Eligible*",IF($C$9="Cat 4",ROUND($D22*H$7,0),""))))</f>
        <v/>
      </c>
      <c r="I22" s="134" t="str">
        <f>IF($A22="","",IF(LEFT(G$8,1)="C","",IF(OR(AND(RIGHT(Eligibility!$M$28,1)="Y",LEFT($C$4,1)="A",$C$9="Cat 5"),AND(RIGHT(EligReCert!$M$24,1)="Y",LEFT($C$4,1)="M",$C$9="Cat 5")),"Not Eligible*",IF($C$9="Cat 5",ROUND($D22*I$7,0),""))))</f>
        <v/>
      </c>
      <c r="J22" s="134" t="str">
        <f t="shared" si="4"/>
        <v/>
      </c>
      <c r="K22" s="203" t="str">
        <f t="shared" si="5"/>
        <v/>
      </c>
    </row>
    <row r="23" spans="1:11" ht="24.75" customHeight="1" thickBot="1" x14ac:dyDescent="0.3">
      <c r="A23" s="210"/>
      <c r="B23" s="543" t="s">
        <v>69</v>
      </c>
      <c r="C23" s="544"/>
      <c r="D23" s="299">
        <v>0</v>
      </c>
      <c r="E23" s="134" t="str">
        <f>IF($A23="","",IF(LEFT(C$8,1)="C","",IF(OR(AND(RIGHT(Eligibility!$M$28,1)="Y",LEFT($C$4,1)="A",$C$9="Cat 1"),AND(RIGHT(EligReCert!$M$24,1)="Y",LEFT($C$4,1)="M",$C$9="Cat 1")),"Not Eligible*",IF($C$9="Cat 1",ROUND($D23*E$7,0),""))))</f>
        <v/>
      </c>
      <c r="F23" s="134" t="str">
        <f>IF($A23="","",IF(LEFT(D$8,1)="C","",IF(OR(AND(RIGHT(Eligibility!$M$28,1)="Y",LEFT($C$4,1)="A",$C$9="Cat 2"),AND(RIGHT(EligReCert!$M$24,1)="Y",LEFT($C$4,1)="M",$C$9="Cat 2")),"Not Eligible*",IF($C$9="Cat 2",ROUND($D23*F$7,0),""))))</f>
        <v/>
      </c>
      <c r="G23" s="134" t="str">
        <f>IF($A23="","",IF(LEFT(E$8,1)="C","",IF(OR(AND(RIGHT(Eligibility!$M$28,1)="Y",LEFT($C$4,1)="A",$C$9="Cat 3"),AND(RIGHT(EligReCert!$M$24,1)="Y",LEFT($C$4,1)="M",$C$9="Cat 3")),"Not Eligible*",IF($C$9="Cat 3",ROUND($D23*G$7,0),""))))</f>
        <v/>
      </c>
      <c r="H23" s="134" t="str">
        <f>IF($A23="","",IF(LEFT(F$8,1)="C","",IF(OR(AND(RIGHT(Eligibility!$M$28,1)="Y",LEFT($C$4,1)="A",$C$9="Cat 4"),AND(RIGHT(EligReCert!$M$24,1)="Y",LEFT($C$4,1)="M",$C$9="Cat 4")),"Not Eligible*",IF($C$9="Cat 4",ROUND($D23*H$7,0),""))))</f>
        <v/>
      </c>
      <c r="I23" s="134" t="str">
        <f>IF($A23="","",IF(LEFT(G$8,1)="C","",IF(OR(AND(RIGHT(Eligibility!$M$28,1)="Y",LEFT($C$4,1)="A",$C$9="Cat 5"),AND(RIGHT(EligReCert!$M$24,1)="Y",LEFT($C$4,1)="M",$C$9="Cat 5")),"Not Eligible*",IF($C$9="Cat 5",ROUND($D23*I$7,0),""))))</f>
        <v/>
      </c>
      <c r="J23" s="134" t="str">
        <f t="shared" si="4"/>
        <v/>
      </c>
      <c r="K23" s="203" t="str">
        <f t="shared" si="5"/>
        <v/>
      </c>
    </row>
    <row r="24" spans="1:11" ht="24.75" customHeight="1" thickBot="1" x14ac:dyDescent="0.3">
      <c r="A24" s="210"/>
      <c r="B24" s="543" t="s">
        <v>70</v>
      </c>
      <c r="C24" s="544"/>
      <c r="D24" s="301">
        <v>0</v>
      </c>
      <c r="E24" s="134" t="str">
        <f>IF($A24="","",IF(LEFT(C$8,1)="C","",IF(OR(AND(RIGHT(Eligibility!$M$28,1)="Y",LEFT($C$4,1)="A",$C$9="Cat 1"),AND(RIGHT(EligReCert!$M$24,1)="Y",LEFT($C$4,1)="M",$C$9="Cat 1")),"Not Eligible*",IF($C$9="Cat 1",ROUND($D24*E$7,0),""))))</f>
        <v/>
      </c>
      <c r="F24" s="134" t="str">
        <f>IF($A24="","",IF(LEFT(D$8,1)="C","",IF(OR(AND(RIGHT(Eligibility!$M$28,1)="Y",LEFT($C$4,1)="A",$C$9="Cat 2"),AND(RIGHT(EligReCert!$M$24,1)="Y",LEFT($C$4,1)="M",$C$9="Cat 2")),"Not Eligible*",IF($C$9="Cat 2",ROUND($D24*F$7,0),""))))</f>
        <v/>
      </c>
      <c r="G24" s="134" t="str">
        <f>IF($A24="","",IF(LEFT(E$8,1)="C","",IF(OR(AND(RIGHT(Eligibility!$M$28,1)="Y",LEFT($C$4,1)="A",$C$9="Cat 3"),AND(RIGHT(EligReCert!$M$24,1)="Y",LEFT($C$4,1)="M",$C$9="Cat 3")),"Not Eligible*",IF($C$9="Cat 3",ROUND($D24*G$7,0),""))))</f>
        <v/>
      </c>
      <c r="H24" s="134" t="str">
        <f>IF($A24="","",IF(LEFT(F$8,1)="C","",IF(OR(AND(RIGHT(Eligibility!$M$28,1)="Y",LEFT($C$4,1)="A",$C$9="Cat 4"),AND(RIGHT(EligReCert!$M$24,1)="Y",LEFT($C$4,1)="M",$C$9="Cat 4")),"Not Eligible*",IF($C$9="Cat 4",ROUND($D24*H$7,0),""))))</f>
        <v/>
      </c>
      <c r="I24" s="134" t="str">
        <f>IF($A24="","",IF(LEFT(G$8,1)="C","",IF(OR(AND(RIGHT(Eligibility!$M$28,1)="Y",LEFT($C$4,1)="A",$C$9="Cat 5"),AND(RIGHT(EligReCert!$M$24,1)="Y",LEFT($C$4,1)="M",$C$9="Cat 5")),"Not Eligible*",IF($C$9="Cat 5",ROUND($D24*I$7,0),""))))</f>
        <v/>
      </c>
      <c r="J24" s="134" t="str">
        <f t="shared" si="4"/>
        <v/>
      </c>
      <c r="K24" s="203" t="str">
        <f t="shared" si="5"/>
        <v/>
      </c>
    </row>
    <row r="25" spans="1:11" ht="24.75" customHeight="1" thickBot="1" x14ac:dyDescent="0.3">
      <c r="A25" s="210"/>
      <c r="B25" s="543" t="s">
        <v>71</v>
      </c>
      <c r="C25" s="544"/>
      <c r="D25" s="299">
        <v>0</v>
      </c>
      <c r="E25" s="134" t="str">
        <f>IF($A25="","",IF(LEFT(C$8,1)="C","",IF(OR(AND(RIGHT(Eligibility!$M$28,1)="Y",LEFT($C$4,1)="A",$C$9="Cat 1"),AND(RIGHT(EligReCert!$M$24,1)="Y",LEFT($C$4,1)="M",$C$9="Cat 1")),"Not Eligible*",IF($C$9="Cat 1",ROUND($D25*E$7,0),""))))</f>
        <v/>
      </c>
      <c r="F25" s="134" t="str">
        <f>IF($A25="","",IF(LEFT(D$8,1)="C","",IF(OR(AND(RIGHT(Eligibility!$M$28,1)="Y",LEFT($C$4,1)="A",$C$9="Cat 2"),AND(RIGHT(EligReCert!$M$24,1)="Y",LEFT($C$4,1)="M",$C$9="Cat 2")),"Not Eligible*",IF($C$9="Cat 2",ROUND($D25*F$7,0),""))))</f>
        <v/>
      </c>
      <c r="G25" s="134" t="str">
        <f>IF($A25="","",IF(LEFT(E$8,1)="C","",IF(OR(AND(RIGHT(Eligibility!$M$28,1)="Y",LEFT($C$4,1)="A",$C$9="Cat 3"),AND(RIGHT(EligReCert!$M$24,1)="Y",LEFT($C$4,1)="M",$C$9="Cat 3")),"Not Eligible*",IF($C$9="Cat 3",ROUND($D25*G$7,0),""))))</f>
        <v/>
      </c>
      <c r="H25" s="134" t="str">
        <f>IF($A25="","",IF(LEFT(F$8,1)="C","",IF(OR(AND(RIGHT(Eligibility!$M$28,1)="Y",LEFT($C$4,1)="A",$C$9="Cat 4"),AND(RIGHT(EligReCert!$M$24,1)="Y",LEFT($C$4,1)="M",$C$9="Cat 4")),"Not Eligible*",IF($C$9="Cat 4",ROUND($D25*H$7,0),""))))</f>
        <v/>
      </c>
      <c r="I25" s="134" t="str">
        <f>IF($A25="","",IF(LEFT(G$8,1)="C","",IF(OR(AND(RIGHT(Eligibility!$M$28,1)="Y",LEFT($C$4,1)="A",$C$9="Cat 5"),AND(RIGHT(EligReCert!$M$24,1)="Y",LEFT($C$4,1)="M",$C$9="Cat 5")),"Not Eligible*",IF($C$9="Cat 5",ROUND($D25*I$7,0),""))))</f>
        <v/>
      </c>
      <c r="J25" s="134" t="str">
        <f t="shared" si="4"/>
        <v/>
      </c>
      <c r="K25" s="203" t="str">
        <f t="shared" si="5"/>
        <v/>
      </c>
    </row>
    <row r="26" spans="1:11" ht="13" thickBot="1" x14ac:dyDescent="0.3">
      <c r="A26" s="210"/>
      <c r="B26" s="558" t="s">
        <v>72</v>
      </c>
      <c r="C26" s="559"/>
      <c r="D26" s="299">
        <v>0</v>
      </c>
      <c r="E26" s="134" t="str">
        <f>IF($A26="","",IF(LEFT(C$8,1)="C","",IF(OR(AND(RIGHT(Eligibility!$M$28,1)="Y",LEFT($C$4,1)="A",$C$9="Cat 1"),AND(RIGHT(EligReCert!$M$24,1)="Y",LEFT($C$4,1)="M",$C$9="Cat 1")),"Not Eligible*",IF($C$9="Cat 1",ROUND($D26*E$7,0),""))))</f>
        <v/>
      </c>
      <c r="F26" s="134" t="str">
        <f>IF($A26="","",IF(LEFT(D$8,1)="C","",IF(OR(AND(RIGHT(Eligibility!$M$28,1)="Y",LEFT($C$4,1)="A",$C$9="Cat 2"),AND(RIGHT(EligReCert!$M$24,1)="Y",LEFT($C$4,1)="M",$C$9="Cat 2")),"Not Eligible*",IF($C$9="Cat 2",ROUND($D26*F$7,0),""))))</f>
        <v/>
      </c>
      <c r="G26" s="134" t="str">
        <f>IF($A26="","",IF(LEFT(E$8,1)="C","",IF(OR(AND(RIGHT(Eligibility!$M$28,1)="Y",LEFT($C$4,1)="A",$C$9="Cat 3"),AND(RIGHT(EligReCert!$M$24,1)="Y",LEFT($C$4,1)="M",$C$9="Cat 3")),"Not Eligible*",IF($C$9="Cat 3",ROUND($D26*G$7,0),""))))</f>
        <v/>
      </c>
      <c r="H26" s="134" t="str">
        <f>IF($A26="","",IF(LEFT(F$8,1)="C","",IF(OR(AND(RIGHT(Eligibility!$M$28,1)="Y",LEFT($C$4,1)="A",$C$9="Cat 4"),AND(RIGHT(EligReCert!$M$24,1)="Y",LEFT($C$4,1)="M",$C$9="Cat 4")),"Not Eligible*",IF($C$9="Cat 4",ROUND($D26*H$7,0),""))))</f>
        <v/>
      </c>
      <c r="I26" s="134" t="str">
        <f>IF($A26="","",IF(LEFT(G$8,1)="C","",IF(OR(AND(RIGHT(Eligibility!$M$28,1)="Y",LEFT($C$4,1)="A",$C$9="Cat 5"),AND(RIGHT(EligReCert!$M$24,1)="Y",LEFT($C$4,1)="M",$C$9="Cat 5")),"Not Eligible*",IF($C$9="Cat 5",ROUND($D26*I$7,0),""))))</f>
        <v/>
      </c>
      <c r="J26" s="134" t="str">
        <f t="shared" si="4"/>
        <v/>
      </c>
      <c r="K26" s="203" t="str">
        <f t="shared" si="5"/>
        <v/>
      </c>
    </row>
    <row r="27" spans="1:11" ht="13" thickBot="1" x14ac:dyDescent="0.3">
      <c r="A27" s="210"/>
      <c r="B27" s="543" t="s">
        <v>73</v>
      </c>
      <c r="C27" s="544"/>
      <c r="D27" s="301">
        <v>0</v>
      </c>
      <c r="E27" s="134" t="str">
        <f>IF($A27="","",IF(LEFT(C$8,1)="C","",IF(OR(AND(RIGHT(Eligibility!$M$28,1)="Y",LEFT($C$4,1)="A",$C$9="Cat 1"),AND(RIGHT(EligReCert!$M$24,1)="Y",LEFT($C$4,1)="M",$C$9="Cat 1")),"Not Eligible*",IF($C$9="Cat 1",ROUND($D27*E$7,0),""))))</f>
        <v/>
      </c>
      <c r="F27" s="134" t="str">
        <f>IF($A27="","",IF(LEFT(D$8,1)="C","",IF(OR(AND(RIGHT(Eligibility!$M$28,1)="Y",LEFT($C$4,1)="A",$C$9="Cat 2"),AND(RIGHT(EligReCert!$M$24,1)="Y",LEFT($C$4,1)="M",$C$9="Cat 2")),"Not Eligible*",IF($C$9="Cat 2",ROUND($D27*F$7,0),""))))</f>
        <v/>
      </c>
      <c r="G27" s="134" t="str">
        <f>IF($A27="","",IF(LEFT(E$8,1)="C","",IF(OR(AND(RIGHT(Eligibility!$M$28,1)="Y",LEFT($C$4,1)="A",$C$9="Cat 3"),AND(RIGHT(EligReCert!$M$24,1)="Y",LEFT($C$4,1)="M",$C$9="Cat 3")),"Not Eligible*",IF($C$9="Cat 3",ROUND($D27*G$7,0),""))))</f>
        <v/>
      </c>
      <c r="H27" s="134" t="str">
        <f>IF($A27="","",IF(LEFT(F$8,1)="C","",IF(OR(AND(RIGHT(Eligibility!$M$28,1)="Y",LEFT($C$4,1)="A",$C$9="Cat 4"),AND(RIGHT(EligReCert!$M$24,1)="Y",LEFT($C$4,1)="M",$C$9="Cat 4")),"Not Eligible*",IF($C$9="Cat 4",ROUND($D27*H$7,0),""))))</f>
        <v/>
      </c>
      <c r="I27" s="134" t="str">
        <f>IF($A27="","",IF(LEFT(G$8,1)="C","",IF(OR(AND(RIGHT(Eligibility!$M$28,1)="Y",LEFT($C$4,1)="A",$C$9="Cat 5"),AND(RIGHT(EligReCert!$M$24,1)="Y",LEFT($C$4,1)="M",$C$9="Cat 5")),"Not Eligible*",IF($C$9="Cat 5",ROUND($D27*I$7,0),""))))</f>
        <v/>
      </c>
      <c r="J27" s="134" t="str">
        <f t="shared" si="4"/>
        <v/>
      </c>
      <c r="K27" s="203" t="str">
        <f t="shared" si="5"/>
        <v/>
      </c>
    </row>
    <row r="28" spans="1:11" ht="13" thickBot="1" x14ac:dyDescent="0.3">
      <c r="A28" s="210"/>
      <c r="B28" s="543" t="s">
        <v>74</v>
      </c>
      <c r="C28" s="544"/>
      <c r="D28" s="299">
        <v>0</v>
      </c>
      <c r="E28" s="134" t="str">
        <f>IF($A28="","",IF(LEFT(C$8,1)="C","",IF(OR(AND(RIGHT(Eligibility!$M$28,1)="Y",LEFT($C$4,1)="A",$C$9="Cat 1"),AND(RIGHT(EligReCert!$M$24,1)="Y",LEFT($C$4,1)="M",$C$9="Cat 1")),"Not Eligible*",IF($C$9="Cat 1",ROUND($D28*E$7,0),""))))</f>
        <v/>
      </c>
      <c r="F28" s="134" t="str">
        <f>IF($A28="","",IF(LEFT(D$8,1)="C","",IF(OR(AND(RIGHT(Eligibility!$M$28,1)="Y",LEFT($C$4,1)="A",$C$9="Cat 2"),AND(RIGHT(EligReCert!$M$24,1)="Y",LEFT($C$4,1)="M",$C$9="Cat 2")),"Not Eligible*",IF($C$9="Cat 2",ROUND($D28*F$7,0),""))))</f>
        <v/>
      </c>
      <c r="G28" s="134" t="str">
        <f>IF($A28="","",IF(LEFT(E$8,1)="C","",IF(OR(AND(RIGHT(Eligibility!$M$28,1)="Y",LEFT($C$4,1)="A",$C$9="Cat 3"),AND(RIGHT(EligReCert!$M$24,1)="Y",LEFT($C$4,1)="M",$C$9="Cat 3")),"Not Eligible*",IF($C$9="Cat 3",ROUND($D28*G$7,0),""))))</f>
        <v/>
      </c>
      <c r="H28" s="134" t="str">
        <f>IF($A28="","",IF(LEFT(F$8,1)="C","",IF(OR(AND(RIGHT(Eligibility!$M$28,1)="Y",LEFT($C$4,1)="A",$C$9="Cat 4"),AND(RIGHT(EligReCert!$M$24,1)="Y",LEFT($C$4,1)="M",$C$9="Cat 4")),"Not Eligible*",IF($C$9="Cat 4",ROUND($D28*H$7,0),""))))</f>
        <v/>
      </c>
      <c r="I28" s="134" t="str">
        <f>IF($A28="","",IF(LEFT(G$8,1)="C","",IF(OR(AND(RIGHT(Eligibility!$M$28,1)="Y",LEFT($C$4,1)="A",$C$9="Cat 5"),AND(RIGHT(EligReCert!$M$24,1)="Y",LEFT($C$4,1)="M",$C$9="Cat 5")),"Not Eligible*",IF($C$9="Cat 5",ROUND($D28*I$7,0),""))))</f>
        <v/>
      </c>
      <c r="J28" s="134" t="str">
        <f t="shared" si="4"/>
        <v/>
      </c>
      <c r="K28" s="203" t="str">
        <f t="shared" si="5"/>
        <v/>
      </c>
    </row>
    <row r="29" spans="1:11" ht="13" thickBot="1" x14ac:dyDescent="0.3">
      <c r="A29" s="210"/>
      <c r="B29" s="543" t="s">
        <v>75</v>
      </c>
      <c r="C29" s="544"/>
      <c r="D29" s="301">
        <v>0</v>
      </c>
      <c r="E29" s="134" t="str">
        <f>IF($A29="","",IF(LEFT(C$8,1)="C","",IF(OR(AND(RIGHT(Eligibility!$M$28,1)="Y",LEFT($C$4,1)="A",$C$9="Cat 1"),AND(RIGHT(EligReCert!$M$24,1)="Y",LEFT($C$4,1)="M",$C$9="Cat 1")),"Not Eligible*",IF($C$9="Cat 1",ROUND($D29*E$7,0),""))))</f>
        <v/>
      </c>
      <c r="F29" s="134" t="str">
        <f>IF($A29="","",IF(LEFT(D$8,1)="C","",IF(OR(AND(RIGHT(Eligibility!$M$28,1)="Y",LEFT($C$4,1)="A",$C$9="Cat 2"),AND(RIGHT(EligReCert!$M$24,1)="Y",LEFT($C$4,1)="M",$C$9="Cat 2")),"Not Eligible*",IF($C$9="Cat 2",ROUND($D29*F$7,0),""))))</f>
        <v/>
      </c>
      <c r="G29" s="134" t="str">
        <f>IF($A29="","",IF(LEFT(E$8,1)="C","",IF(OR(AND(RIGHT(Eligibility!$M$28,1)="Y",LEFT($C$4,1)="A",$C$9="Cat 3"),AND(RIGHT(EligReCert!$M$24,1)="Y",LEFT($C$4,1)="M",$C$9="Cat 3")),"Not Eligible*",IF($C$9="Cat 3",ROUND($D29*G$7,0),""))))</f>
        <v/>
      </c>
      <c r="H29" s="134" t="str">
        <f>IF($A29="","",IF(LEFT(F$8,1)="C","",IF(OR(AND(RIGHT(Eligibility!$M$28,1)="Y",LEFT($C$4,1)="A",$C$9="Cat 4"),AND(RIGHT(EligReCert!$M$24,1)="Y",LEFT($C$4,1)="M",$C$9="Cat 4")),"Not Eligible*",IF($C$9="Cat 4",ROUND($D29*H$7,0),""))))</f>
        <v/>
      </c>
      <c r="I29" s="134" t="str">
        <f>IF($A29="","",IF(LEFT(G$8,1)="C","",IF(OR(AND(RIGHT(Eligibility!$M$28,1)="Y",LEFT($C$4,1)="A",$C$9="Cat 5"),AND(RIGHT(EligReCert!$M$24,1)="Y",LEFT($C$4,1)="M",$C$9="Cat 5")),"Not Eligible*",IF($C$9="Cat 5",ROUND($D29*I$7,0),""))))</f>
        <v/>
      </c>
      <c r="J29" s="134" t="str">
        <f t="shared" si="4"/>
        <v/>
      </c>
      <c r="K29" s="203" t="str">
        <f t="shared" si="5"/>
        <v/>
      </c>
    </row>
    <row r="30" spans="1:11" ht="13" thickBot="1" x14ac:dyDescent="0.3">
      <c r="A30" s="210"/>
      <c r="B30" s="543" t="s">
        <v>112</v>
      </c>
      <c r="C30" s="544"/>
      <c r="D30" s="301">
        <v>0</v>
      </c>
      <c r="E30" s="134" t="str">
        <f>IF($A30="","",IF(LEFT(C$8,1)="C","",IF(OR(AND(RIGHT(Eligibility!$M$28,1)="Y",LEFT($C$4,1)="A",$C$9="Cat 1"),AND(RIGHT(EligReCert!$M$24,1)="Y",LEFT($C$4,1)="M",$C$9="Cat 1")),"Not Eligible*",IF($C$9="Cat 1",ROUND($D30*E$7,0),""))))</f>
        <v/>
      </c>
      <c r="F30" s="134" t="str">
        <f>IF($A30="","",IF(LEFT(D$8,1)="C","",IF(OR(AND(RIGHT(Eligibility!$M$28,1)="Y",LEFT($C$4,1)="A",$C$9="Cat 2"),AND(RIGHT(EligReCert!$M$24,1)="Y",LEFT($C$4,1)="M",$C$9="Cat 2")),"Not Eligible*",IF($C$9="Cat 2",ROUND($D30*F$7,0),""))))</f>
        <v/>
      </c>
      <c r="G30" s="134" t="str">
        <f>IF($A30="","",IF(LEFT(E$8,1)="C","",IF(OR(AND(RIGHT(Eligibility!$M$28,1)="Y",LEFT($C$4,1)="A",$C$9="Cat 3"),AND(RIGHT(EligReCert!$M$24,1)="Y",LEFT($C$4,1)="M",$C$9="Cat 3")),"Not Eligible*",IF($C$9="Cat 3",ROUND($D30*G$7,0),""))))</f>
        <v/>
      </c>
      <c r="H30" s="134" t="str">
        <f>IF($A30="","",IF(LEFT(F$8,1)="C","",IF(OR(AND(RIGHT(Eligibility!$M$28,1)="Y",LEFT($C$4,1)="A",$C$9="Cat 4"),AND(RIGHT(EligReCert!$M$24,1)="Y",LEFT($C$4,1)="M",$C$9="Cat 4")),"Not Eligible*",IF($C$9="Cat 4",ROUND($D30*H$7,0),""))))</f>
        <v/>
      </c>
      <c r="I30" s="134" t="str">
        <f>IF($A30="","",IF(LEFT(G$8,1)="C","",IF(OR(AND(RIGHT(Eligibility!$M$28,1)="Y",LEFT($C$4,1)="A",$C$9="Cat 5"),AND(RIGHT(EligReCert!$M$24,1)="Y",LEFT($C$4,1)="M",$C$9="Cat 5")),"Not Eligible*",IF($C$9="Cat 5",ROUND($D30*I$7,0),""))))</f>
        <v/>
      </c>
      <c r="J30" s="134" t="str">
        <f t="shared" si="4"/>
        <v/>
      </c>
      <c r="K30" s="203" t="str">
        <f t="shared" si="5"/>
        <v/>
      </c>
    </row>
    <row r="31" spans="1:11" ht="13" thickBot="1" x14ac:dyDescent="0.3">
      <c r="A31" s="210"/>
      <c r="B31" s="543" t="s">
        <v>76</v>
      </c>
      <c r="C31" s="544"/>
      <c r="D31" s="301">
        <v>0</v>
      </c>
      <c r="E31" s="134" t="str">
        <f>IF($A31="","",IF(LEFT(C$8,1)="C","",IF(OR(AND(RIGHT(Eligibility!$M$28,1)="Y",LEFT($C$4,1)="A",$C$9="Cat 1"),AND(RIGHT(EligReCert!$M$24,1)="Y",LEFT($C$4,1)="M",$C$9="Cat 1")),"Not Eligible*",IF($C$9="Cat 1",ROUND($D31*E$7,0),""))))</f>
        <v/>
      </c>
      <c r="F31" s="134" t="str">
        <f>IF($A31="","",IF(LEFT(D$8,1)="C","",IF(OR(AND(RIGHT(Eligibility!$M$28,1)="Y",LEFT($C$4,1)="A",$C$9="Cat 2"),AND(RIGHT(EligReCert!$M$24,1)="Y",LEFT($C$4,1)="M",$C$9="Cat 2")),"Not Eligible*",IF($C$9="Cat 2",ROUND($D31*F$7,0),""))))</f>
        <v/>
      </c>
      <c r="G31" s="134" t="str">
        <f>IF($A31="","",IF(LEFT(E$8,1)="C","",IF(OR(AND(RIGHT(Eligibility!$M$28,1)="Y",LEFT($C$4,1)="A",$C$9="Cat 3"),AND(RIGHT(EligReCert!$M$24,1)="Y",LEFT($C$4,1)="M",$C$9="Cat 3")),"Not Eligible*",IF($C$9="Cat 3",ROUND($D31*G$7,0),""))))</f>
        <v/>
      </c>
      <c r="H31" s="134" t="str">
        <f>IF($A31="","",IF(LEFT(F$8,1)="C","",IF(OR(AND(RIGHT(Eligibility!$M$28,1)="Y",LEFT($C$4,1)="A",$C$9="Cat 4"),AND(RIGHT(EligReCert!$M$24,1)="Y",LEFT($C$4,1)="M",$C$9="Cat 4")),"Not Eligible*",IF($C$9="Cat 4",ROUND($D31*H$7,0),""))))</f>
        <v/>
      </c>
      <c r="I31" s="134" t="str">
        <f>IF($A31="","",IF(LEFT(G$8,1)="C","",IF(OR(AND(RIGHT(Eligibility!$M$28,1)="Y",LEFT($C$4,1)="A",$C$9="Cat 5"),AND(RIGHT(EligReCert!$M$24,1)="Y",LEFT($C$4,1)="M",$C$9="Cat 5")),"Not Eligible*",IF($C$9="Cat 5",ROUND($D31*I$7,0),""))))</f>
        <v/>
      </c>
      <c r="J31" s="134" t="str">
        <f t="shared" si="4"/>
        <v/>
      </c>
      <c r="K31" s="203" t="str">
        <f t="shared" si="5"/>
        <v/>
      </c>
    </row>
    <row r="32" spans="1:11" ht="13" thickBot="1" x14ac:dyDescent="0.3">
      <c r="A32" s="229"/>
      <c r="B32" s="560" t="s">
        <v>83</v>
      </c>
      <c r="C32" s="230" t="s">
        <v>211</v>
      </c>
      <c r="D32" s="302">
        <v>152</v>
      </c>
      <c r="E32" s="134" t="str">
        <f>IF($A32="","",IF(LEFT(C$8,1)="C","",IF(OR(AND(RIGHT(Eligibility!$M$28,1)="Y",LEFT($C$4,1)="A",$C$9="Cat 1"),AND(RIGHT(EligReCert!$M$24,1)="Y",LEFT($C$4,1)="M",$C$9="Cat 1")),"Not Eligible*",IF($C$9="Cat 1",ROUND($D32*E$7,0),""))))</f>
        <v/>
      </c>
      <c r="F32" s="134" t="str">
        <f>IF($A32="","",IF(LEFT(D$8,1)="C","",IF(OR(AND(RIGHT(Eligibility!$M$28,1)="Y",LEFT($C$4,1)="A",$C$9="Cat 2"),AND(RIGHT(EligReCert!$M$24,1)="Y",LEFT($C$4,1)="M",$C$9="Cat 2")),"Not Eligible*",IF($C$9="Cat 2",ROUND($D32*F$7,0),""))))</f>
        <v/>
      </c>
      <c r="G32" s="134" t="str">
        <f>IF($A32="","",IF(LEFT(E$8,1)="C","",IF(OR(AND(RIGHT(Eligibility!$M$28,1)="Y",LEFT($C$4,1)="A",$C$9="Cat 3"),AND(RIGHT(EligReCert!$M$24,1)="Y",LEFT($C$4,1)="M",$C$9="Cat 3")),"Not Eligible*",IF($C$9="Cat 3",ROUND($D32*G$7,0),""))))</f>
        <v/>
      </c>
      <c r="H32" s="134" t="str">
        <f>IF($A32="","",IF(LEFT(F$8,1)="C","",IF(OR(AND(RIGHT(Eligibility!$M$28,1)="Y",LEFT($C$4,1)="A",$C$9="Cat 4"),AND(RIGHT(EligReCert!$M$24,1)="Y",LEFT($C$4,1)="M",$C$9="Cat 4")),"Not Eligible*",IF($C$9="Cat 4",ROUND($D32*H$7,0),""))))</f>
        <v/>
      </c>
      <c r="I32" s="134" t="str">
        <f>IF($A32="","",IF(LEFT(G$8,1)="C","",IF(OR(AND(RIGHT(Eligibility!$M$28,1)="Y",LEFT($C$4,1)="A",$C$9="Cat 5"),AND(RIGHT(EligReCert!$M$24,1)="Y",LEFT($C$4,1)="M",$C$9="Cat 5")),"Not Eligible*",IF($C$9="Cat 5",ROUND($D32*I$7,0),""))))</f>
        <v/>
      </c>
      <c r="J32" s="134" t="str">
        <f t="shared" ref="J32" si="6">IF($A32="","",IF(LEFT(C$8,1)="C","",IF($C$9="Cat 6","Not Eligible*","")))</f>
        <v/>
      </c>
      <c r="K32" s="203" t="str">
        <f t="shared" ref="K32" si="7">IF($A32="","",IF(LEFT(C$8,1)="C","",IF($C$9="N/A","Not Eligible*","")))</f>
        <v/>
      </c>
    </row>
    <row r="33" spans="1:13" ht="25.5" customHeight="1" thickBot="1" x14ac:dyDescent="0.3">
      <c r="A33" s="211"/>
      <c r="B33" s="561"/>
      <c r="C33" s="231" t="s">
        <v>212</v>
      </c>
      <c r="D33" s="303">
        <v>340</v>
      </c>
      <c r="E33" s="204" t="str">
        <f>IF($A33="","",IF(LEFT(C$8,1)="C","",IF(OR(AND(RIGHT(Eligibility!$M$28,1)="Y",LEFT($C$4,1)="A",$C$9="Cat 1"),AND(RIGHT(EligReCert!$M$24,1)="Y",LEFT($C$4,1)="M",$C$9="Cat 1")),"Not Eligible*",IF($C$9="Cat 1",ROUND($D33*E$7,0),""))))</f>
        <v/>
      </c>
      <c r="F33" s="204" t="str">
        <f>IF($A33="","",IF(LEFT(D$8,1)="C","",IF(OR(AND(RIGHT(Eligibility!$M$28,1)="Y",LEFT($C$4,1)="A",$C$9="Cat 2"),AND(RIGHT(EligReCert!$M$24,1)="Y",LEFT($C$4,1)="M",$C$9="Cat 2")),"Not Eligible*",IF($C$9="Cat 2",ROUND($D33*F$7,0),""))))</f>
        <v/>
      </c>
      <c r="G33" s="204" t="str">
        <f>IF($A33="","",IF(LEFT(E$8,1)="C","",IF(OR(AND(RIGHT(Eligibility!$M$28,1)="Y",LEFT($C$4,1)="A",$C$9="Cat 3"),AND(RIGHT(EligReCert!$M$24,1)="Y",LEFT($C$4,1)="M",$C$9="Cat 3")),"Not Eligible*",IF($C$9="Cat 3",ROUND($D33*G$7,0),""))))</f>
        <v/>
      </c>
      <c r="H33" s="204" t="str">
        <f>IF($A33="","",IF(LEFT(F$8,1)="C","",IF(OR(AND(RIGHT(Eligibility!$M$28,1)="Y",LEFT($C$4,1)="A",$C$9="Cat 4"),AND(RIGHT(EligReCert!$M$24,1)="Y",LEFT($C$4,1)="M",$C$9="Cat 4")),"Not Eligible*",IF($C$9="Cat 4",ROUND($D33*H$7,0),""))))</f>
        <v/>
      </c>
      <c r="I33" s="204" t="str">
        <f>IF($A33="","",IF(LEFT(G$8,1)="C","",IF(OR(AND(RIGHT(Eligibility!$M$28,1)="Y",LEFT($C$4,1)="A",$C$9="Cat 5"),AND(RIGHT(EligReCert!$M$24,1)="Y",LEFT($C$4,1)="M",$C$9="Cat 5")),"Not Eligible*",IF($C$9="Cat 5",ROUND($D33*I$7,0),""))))</f>
        <v/>
      </c>
      <c r="J33" s="204" t="str">
        <f t="shared" si="4"/>
        <v/>
      </c>
      <c r="K33" s="205" t="str">
        <f t="shared" si="5"/>
        <v/>
      </c>
    </row>
    <row r="34" spans="1:13" ht="13" thickTop="1" x14ac:dyDescent="0.25">
      <c r="A34" s="207"/>
      <c r="B34" s="78"/>
      <c r="C34" s="78"/>
      <c r="D34" s="78"/>
      <c r="E34" s="135"/>
      <c r="F34" s="135"/>
      <c r="G34" s="135"/>
      <c r="H34" s="135"/>
      <c r="I34" s="135"/>
      <c r="J34" s="136"/>
      <c r="K34" s="217"/>
    </row>
    <row r="35" spans="1:13" ht="13" thickBot="1" x14ac:dyDescent="0.3">
      <c r="A35" s="213"/>
      <c r="B35" s="545" t="s">
        <v>274</v>
      </c>
      <c r="C35" s="546"/>
      <c r="D35" s="214"/>
      <c r="E35" s="215" t="str">
        <f>IF($C$9="N/A","",IF(AND(SUM(E12:E33)&gt;0,Cap!$I15-SUM(E12:E33)&lt;0),Cap!$I15,IF(OR(AND(RIGHT(Eligibility!$M$28,1)="Y",LEFT($C$4,5)="Eligi",$C$9="Cat 1"),AND(RIGHT(EligReCert!$M$24,1)="Y",LEFT($C$4,5)="EligR",$C$9="Cat 1")),0,IF($C$9="Cat 1",SUM(E12:E33),""))))</f>
        <v/>
      </c>
      <c r="F35" s="215" t="str">
        <f>IF($C$9="N/A","",IF(AND(SUM(F12:F33)&gt;0,Cap!$I15-SUM(F12:F33)&lt;0),Cap!$I15,IF(OR(AND(RIGHT(Eligibility!$M$28,1)="Y",LEFT($C$4,1)="A",$C$9="Cat 2"),AND(RIGHT(EligReCert!$M$24,1)="Y",LEFT($C$4,1)="M",$C$9="Cat 2")),0,IF($C$9="Cat 2",SUM(F12:F33),""))))</f>
        <v/>
      </c>
      <c r="G35" s="215" t="str">
        <f>IF($C$9="N/A","",IF(AND(SUM(G12:G33)&gt;0,Cap!$I15-SUM(G12:G33)&lt;0),Cap!$I15,IF(OR(AND(RIGHT(Eligibility!$M$28,1)="Y",LEFT($C$4,1)="A",$C$9="Cat 3"),AND(RIGHT(EligReCert!$M$24,1)="Y",LEFT($C$4,1)="M",$C$9="Cat 3")),0,IF($C$9="Cat 3",SUM(G12:G33),""))))</f>
        <v/>
      </c>
      <c r="H35" s="215" t="str">
        <f>IF($C$9="N/A","",IF(AND(SUM(H12:H33)&gt;0,Cap!$I15-SUM(H12:H33)&lt;0),Cap!$I15,IF(OR(AND(RIGHT(Eligibility!$M$28,1)="Y",LEFT($C$4,1)="A",$C$9="Cat 4"),AND(RIGHT(EligReCert!$M$24,1)="Y",LEFT($C$4,1)="M",$C$9="Cat 4")),0,IF($C$9="Cat 4",SUM(H12:H33),""))))</f>
        <v/>
      </c>
      <c r="I35" s="215" t="str">
        <f>IF($C$9="N/A","",IF(AND(SUM(I12:I33)&gt;0,Cap!$I15-SUM(I12:I33)&lt;0),Cap!$I15,IF(OR(AND(RIGHT(Eligibility!$M$28,1)="Y",LEFT($C$4,5)="Eligi",$C$9="Cat 5"),AND(RIGHT(EligReCert!$M$24,1)="Y",LEFT($C$4,1)="M",$C$9="Cat 5")),0,IF($C$9="Cat 5",SUM(I12:I33),""))))</f>
        <v/>
      </c>
      <c r="J35" s="215" t="str">
        <f>IF($C$9="N/A","",IF(AND(SUM(J12:J33)&gt;0,Cap!I15-SUM(J12:J33)&lt;0),Cap!I15,IF(OR(AND(RIGHT(Eligibility!$M$28,1)="Y",LEFT($C$4,1)="A",$C$9="Cat 6"),AND(RIGHT(EligReCert!$M$24,1)="Y",LEFT($C$4,1)="M",$C$9="Cat 6")),0,IF($C$9="Cat 6",SUM(J12:J33),""))))</f>
        <v/>
      </c>
      <c r="K35" s="216">
        <f>IF(AND(SUM(J12:J33)&gt;0,Cap!J15-SUM(J12:J33)&lt;0),Cap!J15,IF(OR(AND(RIGHT(Eligibility!$M$28,1)="Y",LEFT($C$4,1)="A",$C$9="N/A"),AND(RIGHT(EligReCert!$M$24,1)="Y",LEFT($C$4,1)="M",$C$9="N/A")),0,IF($C$9="N/A",SUM(J12:J33),"")))</f>
        <v>0</v>
      </c>
      <c r="M35" s="75"/>
    </row>
    <row r="36" spans="1:13" ht="18" customHeight="1" thickTop="1" x14ac:dyDescent="0.25">
      <c r="A36" s="287" t="str">
        <f>IF(OR(AND(LEFT($C$4,5)="Eligi",RIGHT(Eligibility!M28,1)="Y"),AND(LEFT($C$4,5)="EligR",RIGHT(EligReCert!M24,1)="Y")),"* Not eligible due to total household income.","")</f>
        <v/>
      </c>
      <c r="B36" s="135"/>
      <c r="C36" s="135"/>
      <c r="D36" s="135"/>
      <c r="E36" s="288"/>
      <c r="F36" s="288"/>
      <c r="G36" s="288"/>
      <c r="H36" s="288"/>
      <c r="I36" s="288"/>
      <c r="J36" s="288"/>
      <c r="K36" s="288"/>
      <c r="L36" t="str">
        <f>IF(ISERROR(SUM(E35:K35)),"","")</f>
        <v/>
      </c>
    </row>
    <row r="37" spans="1:13" ht="17.5" x14ac:dyDescent="0.25">
      <c r="A37" s="287" t="str">
        <f>IF(ISERROR(SUM(E35:K35)),"",IF(OR(Cap!D6="",Cap!B8=""),"Please fill out top of Cap tab",IF(SUM(E35:K35)&lt;SUM(E12:K33),"Total Charges Today are reduced to not exceed Client Cap on Charges","")))</f>
        <v>Please fill out top of Cap tab</v>
      </c>
      <c r="B37" s="280"/>
      <c r="C37" s="280"/>
      <c r="D37" s="280"/>
      <c r="E37" s="280"/>
      <c r="F37" s="280"/>
      <c r="G37" s="280"/>
      <c r="H37" s="280"/>
      <c r="I37" s="280"/>
      <c r="J37" s="280"/>
      <c r="K37" s="280"/>
      <c r="M37" s="184"/>
    </row>
    <row r="38" spans="1:13" ht="15" customHeight="1" thickBot="1" x14ac:dyDescent="0.5">
      <c r="A38" s="185"/>
      <c r="B38" s="538"/>
      <c r="C38" s="539"/>
      <c r="D38" s="539"/>
      <c r="E38" s="186"/>
      <c r="F38" s="538"/>
      <c r="G38" s="539"/>
      <c r="H38" s="539"/>
      <c r="I38" s="219"/>
      <c r="J38" s="186" t="s">
        <v>111</v>
      </c>
      <c r="K38" s="271"/>
      <c r="M38" s="184"/>
    </row>
    <row r="39" spans="1:13" ht="17.5" x14ac:dyDescent="0.25">
      <c r="A39" s="185"/>
      <c r="B39" s="45" t="s">
        <v>38</v>
      </c>
      <c r="C39" s="45"/>
      <c r="D39" s="45"/>
      <c r="E39" s="17"/>
      <c r="F39" s="218" t="s">
        <v>181</v>
      </c>
      <c r="G39" s="45"/>
      <c r="H39" s="45"/>
      <c r="I39" s="78"/>
      <c r="J39" s="78"/>
      <c r="M39" s="184"/>
    </row>
    <row r="40" spans="1:13" ht="17.5" x14ac:dyDescent="0.25">
      <c r="A40" s="185"/>
      <c r="B40" s="78"/>
      <c r="C40" s="78"/>
      <c r="D40" s="78"/>
      <c r="E40" s="78"/>
      <c r="F40" s="78"/>
      <c r="G40" s="78"/>
      <c r="H40" s="78"/>
      <c r="I40" s="78"/>
      <c r="J40" s="78"/>
      <c r="M40" s="184"/>
    </row>
    <row r="41" spans="1:13" ht="28.5" customHeight="1" thickBot="1" x14ac:dyDescent="0.4">
      <c r="A41" s="197" t="s">
        <v>177</v>
      </c>
      <c r="B41" s="554" t="str">
        <f>A1</f>
        <v>No Name Please Fill Out Eligibility Tab</v>
      </c>
      <c r="C41" s="555"/>
      <c r="D41" s="85" t="s">
        <v>268</v>
      </c>
    </row>
    <row r="42" spans="1:13" x14ac:dyDescent="0.25">
      <c r="A42" s="120"/>
      <c r="B42" s="85" t="s">
        <v>269</v>
      </c>
    </row>
    <row r="43" spans="1:13" x14ac:dyDescent="0.25">
      <c r="A43" s="120"/>
      <c r="B43" s="85" t="s">
        <v>270</v>
      </c>
    </row>
    <row r="44" spans="1:13" x14ac:dyDescent="0.25">
      <c r="B44" t="s">
        <v>271</v>
      </c>
    </row>
    <row r="46" spans="1:13" ht="17.25" customHeight="1" thickBot="1" x14ac:dyDescent="0.5">
      <c r="B46" s="538"/>
      <c r="C46" s="539"/>
      <c r="D46" s="539"/>
      <c r="E46" s="186"/>
      <c r="F46" s="538"/>
      <c r="G46" s="539"/>
      <c r="H46" s="539"/>
      <c r="I46" s="219"/>
      <c r="J46" s="186"/>
      <c r="K46" s="67"/>
    </row>
    <row r="47" spans="1:13" x14ac:dyDescent="0.25">
      <c r="B47" s="45" t="s">
        <v>38</v>
      </c>
      <c r="C47" s="45"/>
      <c r="D47" s="45"/>
      <c r="E47" s="17"/>
      <c r="F47" s="218" t="s">
        <v>181</v>
      </c>
      <c r="G47" s="45"/>
      <c r="H47" s="45"/>
      <c r="I47" s="78"/>
      <c r="J47" s="78"/>
    </row>
    <row r="48" spans="1:13" x14ac:dyDescent="0.25">
      <c r="B48" s="78"/>
      <c r="C48" s="78"/>
      <c r="D48" s="78"/>
      <c r="E48" s="78"/>
      <c r="F48" s="78"/>
      <c r="G48" s="78"/>
      <c r="H48" s="78"/>
      <c r="I48" s="78"/>
      <c r="J48" s="121" t="str">
        <f>Eligibility!U42</f>
        <v>created 11/12</v>
      </c>
    </row>
  </sheetData>
  <sheetProtection sheet="1" objects="1" scenarios="1"/>
  <mergeCells count="42">
    <mergeCell ref="I7:I8"/>
    <mergeCell ref="B32:B33"/>
    <mergeCell ref="A4:B4"/>
    <mergeCell ref="D7:D8"/>
    <mergeCell ref="A1:B1"/>
    <mergeCell ref="B21:C21"/>
    <mergeCell ref="B22:C22"/>
    <mergeCell ref="B23:C23"/>
    <mergeCell ref="A2:B2"/>
    <mergeCell ref="B13:B14"/>
    <mergeCell ref="B41:C41"/>
    <mergeCell ref="E7:E8"/>
    <mergeCell ref="F7:F8"/>
    <mergeCell ref="G7:G8"/>
    <mergeCell ref="H7:H8"/>
    <mergeCell ref="B25:C25"/>
    <mergeCell ref="B38:D38"/>
    <mergeCell ref="F38:H38"/>
    <mergeCell ref="B26:C26"/>
    <mergeCell ref="B12:C12"/>
    <mergeCell ref="F46:H46"/>
    <mergeCell ref="B6:K6"/>
    <mergeCell ref="B27:C27"/>
    <mergeCell ref="B28:C28"/>
    <mergeCell ref="B35:C35"/>
    <mergeCell ref="B46:D46"/>
    <mergeCell ref="B29:C29"/>
    <mergeCell ref="B30:C30"/>
    <mergeCell ref="B19:C19"/>
    <mergeCell ref="B20:C20"/>
    <mergeCell ref="B15:B16"/>
    <mergeCell ref="B31:C31"/>
    <mergeCell ref="B24:C24"/>
    <mergeCell ref="B11:C11"/>
    <mergeCell ref="B17:C17"/>
    <mergeCell ref="B18:C18"/>
    <mergeCell ref="J1:K1"/>
    <mergeCell ref="J2:K2"/>
    <mergeCell ref="D1:E1"/>
    <mergeCell ref="D2:E2"/>
    <mergeCell ref="G1:H1"/>
    <mergeCell ref="G2:H2"/>
  </mergeCells>
  <conditionalFormatting sqref="F35">
    <cfRule type="expression" dxfId="9" priority="1">
      <formula>+$F$35&lt;0</formula>
    </cfRule>
  </conditionalFormatting>
  <dataValidations disablePrompts="1" count="1">
    <dataValidation type="list" showInputMessage="1" showErrorMessage="1" sqref="C4" xr:uid="{00000000-0002-0000-0600-000000000000}">
      <formula1>$M$7:$M$8</formula1>
    </dataValidation>
  </dataValidations>
  <pageMargins left="0.5" right="0.5" top="0.5" bottom="0.5" header="0.3" footer="0.3"/>
  <pageSetup scale="83" orientation="portrait" r:id="rId1"/>
  <colBreaks count="1" manualBreakCount="1">
    <brk id="11" max="1048575" man="1"/>
  </colBreaks>
  <ignoredErrors>
    <ignoredError sqref="J18:K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3:W12"/>
  <sheetViews>
    <sheetView workbookViewId="0">
      <selection activeCell="D20" sqref="D20"/>
    </sheetView>
  </sheetViews>
  <sheetFormatPr defaultRowHeight="12.5" x14ac:dyDescent="0.25"/>
  <cols>
    <col min="4" max="4" width="10.08984375" customWidth="1"/>
    <col min="5" max="5" width="2" bestFit="1" customWidth="1"/>
    <col min="6" max="6" width="1.54296875" bestFit="1" customWidth="1"/>
    <col min="7" max="7" width="7.36328125" bestFit="1" customWidth="1"/>
    <col min="8" max="8" width="8.453125" customWidth="1"/>
    <col min="9" max="9" width="1.54296875" bestFit="1" customWidth="1"/>
    <col min="10" max="11" width="7.08984375" customWidth="1"/>
    <col min="12" max="12" width="1.54296875" bestFit="1" customWidth="1"/>
    <col min="15" max="15" width="1.54296875" bestFit="1" customWidth="1"/>
    <col min="18" max="18" width="1.54296875" bestFit="1" customWidth="1"/>
    <col min="21" max="21" width="1.54296875" bestFit="1" customWidth="1"/>
  </cols>
  <sheetData>
    <row r="3" spans="2:23" ht="25" x14ac:dyDescent="0.25">
      <c r="D3" s="162" t="s">
        <v>44</v>
      </c>
      <c r="E3" s="163" t="s">
        <v>140</v>
      </c>
      <c r="F3" s="164"/>
      <c r="G3" s="165"/>
      <c r="H3" s="163" t="s">
        <v>48</v>
      </c>
      <c r="I3" s="164"/>
      <c r="J3" s="171"/>
      <c r="K3" s="163" t="s">
        <v>49</v>
      </c>
      <c r="L3" s="164"/>
      <c r="M3" s="171"/>
      <c r="N3" s="163" t="s">
        <v>50</v>
      </c>
      <c r="O3" s="164"/>
      <c r="P3" s="171"/>
      <c r="Q3" s="163" t="s">
        <v>141</v>
      </c>
      <c r="R3" s="172"/>
      <c r="S3" s="171"/>
      <c r="T3" s="163" t="s">
        <v>142</v>
      </c>
      <c r="U3" s="172"/>
      <c r="V3" s="171"/>
      <c r="W3" s="173" t="s">
        <v>131</v>
      </c>
    </row>
    <row r="4" spans="2:23" x14ac:dyDescent="0.25">
      <c r="B4">
        <v>11170</v>
      </c>
      <c r="D4">
        <v>1</v>
      </c>
      <c r="E4" s="166">
        <v>0</v>
      </c>
      <c r="F4" s="167" t="s">
        <v>53</v>
      </c>
      <c r="G4" s="168">
        <f>B4</f>
        <v>11170</v>
      </c>
      <c r="H4" s="169">
        <f>G4+1</f>
        <v>11171</v>
      </c>
      <c r="I4" s="167" t="s">
        <v>53</v>
      </c>
      <c r="J4" s="168">
        <f>ROUND(G4*1.33,0)</f>
        <v>14856</v>
      </c>
      <c r="K4" s="169">
        <f>J4+1</f>
        <v>14857</v>
      </c>
      <c r="L4" s="167" t="s">
        <v>53</v>
      </c>
      <c r="M4" s="168">
        <f>ROUND(G4*1.5,0)</f>
        <v>16755</v>
      </c>
      <c r="N4" s="169">
        <f>M4+1</f>
        <v>16756</v>
      </c>
      <c r="O4" s="167" t="s">
        <v>53</v>
      </c>
      <c r="P4" s="168">
        <f>G4*2</f>
        <v>22340</v>
      </c>
      <c r="Q4" s="169">
        <f>P4+1</f>
        <v>22341</v>
      </c>
      <c r="R4" s="167" t="s">
        <v>53</v>
      </c>
      <c r="S4" s="168">
        <f>G4*3</f>
        <v>33510</v>
      </c>
      <c r="T4" s="169">
        <f>S4+1</f>
        <v>33511</v>
      </c>
      <c r="U4" s="167" t="s">
        <v>53</v>
      </c>
      <c r="V4" s="168">
        <f>G4*4</f>
        <v>44680</v>
      </c>
      <c r="W4" s="170">
        <f>V4+1</f>
        <v>44681</v>
      </c>
    </row>
    <row r="5" spans="2:23" x14ac:dyDescent="0.25">
      <c r="B5">
        <v>3960</v>
      </c>
      <c r="D5">
        <v>2</v>
      </c>
      <c r="E5" s="166">
        <v>0</v>
      </c>
      <c r="F5" s="167" t="s">
        <v>53</v>
      </c>
      <c r="G5" s="168">
        <f>B4+B5</f>
        <v>15130</v>
      </c>
      <c r="H5" s="169">
        <f t="shared" ref="H5:H11" si="0">G5+1</f>
        <v>15131</v>
      </c>
      <c r="I5" s="167" t="s">
        <v>53</v>
      </c>
      <c r="J5" s="168">
        <f t="shared" ref="J5:J11" si="1">ROUND(G5*1.33,0)</f>
        <v>20123</v>
      </c>
      <c r="K5" s="169">
        <f t="shared" ref="K5:K11" si="2">J5+1</f>
        <v>20124</v>
      </c>
      <c r="L5" s="167" t="s">
        <v>53</v>
      </c>
      <c r="M5" s="168">
        <f t="shared" ref="M5:M11" si="3">ROUND(G5*1.5,0)</f>
        <v>22695</v>
      </c>
      <c r="N5" s="169">
        <f t="shared" ref="N5:N11" si="4">M5+1</f>
        <v>22696</v>
      </c>
      <c r="O5" s="167" t="s">
        <v>53</v>
      </c>
      <c r="P5" s="168">
        <f t="shared" ref="P5:P11" si="5">G5*2</f>
        <v>30260</v>
      </c>
      <c r="Q5" s="169">
        <f t="shared" ref="Q5:Q11" si="6">P5+1</f>
        <v>30261</v>
      </c>
      <c r="R5" s="167" t="s">
        <v>53</v>
      </c>
      <c r="S5" s="168">
        <f t="shared" ref="S5:S11" si="7">G5*3</f>
        <v>45390</v>
      </c>
      <c r="T5" s="169">
        <f t="shared" ref="T5:T11" si="8">S5+1</f>
        <v>45391</v>
      </c>
      <c r="U5" s="167" t="s">
        <v>53</v>
      </c>
      <c r="V5" s="168">
        <f t="shared" ref="V5:V11" si="9">G5*4</f>
        <v>60520</v>
      </c>
      <c r="W5" s="170">
        <f t="shared" ref="W5:W11" si="10">V5+1</f>
        <v>60521</v>
      </c>
    </row>
    <row r="6" spans="2:23" x14ac:dyDescent="0.25">
      <c r="D6">
        <v>3</v>
      </c>
      <c r="E6" s="166">
        <v>0</v>
      </c>
      <c r="F6" s="167" t="s">
        <v>53</v>
      </c>
      <c r="G6" s="168">
        <f t="shared" ref="G6:G11" si="11">G5+B$5</f>
        <v>19090</v>
      </c>
      <c r="H6" s="169">
        <f t="shared" si="0"/>
        <v>19091</v>
      </c>
      <c r="I6" s="167" t="s">
        <v>53</v>
      </c>
      <c r="J6" s="168">
        <f t="shared" si="1"/>
        <v>25390</v>
      </c>
      <c r="K6" s="169">
        <f t="shared" si="2"/>
        <v>25391</v>
      </c>
      <c r="L6" s="167" t="s">
        <v>53</v>
      </c>
      <c r="M6" s="168">
        <f t="shared" si="3"/>
        <v>28635</v>
      </c>
      <c r="N6" s="169">
        <f t="shared" si="4"/>
        <v>28636</v>
      </c>
      <c r="O6" s="167" t="s">
        <v>53</v>
      </c>
      <c r="P6" s="168">
        <f t="shared" si="5"/>
        <v>38180</v>
      </c>
      <c r="Q6" s="169">
        <f t="shared" si="6"/>
        <v>38181</v>
      </c>
      <c r="R6" s="167" t="s">
        <v>53</v>
      </c>
      <c r="S6" s="168">
        <f t="shared" si="7"/>
        <v>57270</v>
      </c>
      <c r="T6" s="169">
        <f t="shared" si="8"/>
        <v>57271</v>
      </c>
      <c r="U6" s="167" t="s">
        <v>53</v>
      </c>
      <c r="V6" s="168">
        <f t="shared" si="9"/>
        <v>76360</v>
      </c>
      <c r="W6" s="170">
        <f t="shared" si="10"/>
        <v>76361</v>
      </c>
    </row>
    <row r="7" spans="2:23" x14ac:dyDescent="0.25">
      <c r="D7">
        <v>4</v>
      </c>
      <c r="E7" s="166">
        <v>0</v>
      </c>
      <c r="F7" s="167" t="s">
        <v>53</v>
      </c>
      <c r="G7" s="168">
        <f t="shared" si="11"/>
        <v>23050</v>
      </c>
      <c r="H7" s="169">
        <f t="shared" si="0"/>
        <v>23051</v>
      </c>
      <c r="I7" s="167" t="s">
        <v>53</v>
      </c>
      <c r="J7" s="168">
        <f t="shared" si="1"/>
        <v>30657</v>
      </c>
      <c r="K7" s="169">
        <f t="shared" si="2"/>
        <v>30658</v>
      </c>
      <c r="L7" s="167" t="s">
        <v>53</v>
      </c>
      <c r="M7" s="168">
        <f t="shared" si="3"/>
        <v>34575</v>
      </c>
      <c r="N7" s="169">
        <f t="shared" si="4"/>
        <v>34576</v>
      </c>
      <c r="O7" s="167" t="s">
        <v>53</v>
      </c>
      <c r="P7" s="168">
        <f t="shared" si="5"/>
        <v>46100</v>
      </c>
      <c r="Q7" s="169">
        <f t="shared" si="6"/>
        <v>46101</v>
      </c>
      <c r="R7" s="167" t="s">
        <v>53</v>
      </c>
      <c r="S7" s="168">
        <f t="shared" si="7"/>
        <v>69150</v>
      </c>
      <c r="T7" s="169">
        <f t="shared" si="8"/>
        <v>69151</v>
      </c>
      <c r="U7" s="167" t="s">
        <v>53</v>
      </c>
      <c r="V7" s="168">
        <f t="shared" si="9"/>
        <v>92200</v>
      </c>
      <c r="W7" s="170">
        <f t="shared" si="10"/>
        <v>92201</v>
      </c>
    </row>
    <row r="8" spans="2:23" x14ac:dyDescent="0.25">
      <c r="D8">
        <v>5</v>
      </c>
      <c r="E8" s="166">
        <v>0</v>
      </c>
      <c r="F8" s="167" t="s">
        <v>53</v>
      </c>
      <c r="G8" s="168">
        <f t="shared" si="11"/>
        <v>27010</v>
      </c>
      <c r="H8" s="169">
        <f t="shared" si="0"/>
        <v>27011</v>
      </c>
      <c r="I8" s="167" t="s">
        <v>53</v>
      </c>
      <c r="J8" s="168">
        <f t="shared" si="1"/>
        <v>35923</v>
      </c>
      <c r="K8" s="169">
        <f t="shared" si="2"/>
        <v>35924</v>
      </c>
      <c r="L8" s="167" t="s">
        <v>53</v>
      </c>
      <c r="M8" s="168">
        <f t="shared" si="3"/>
        <v>40515</v>
      </c>
      <c r="N8" s="169">
        <f t="shared" si="4"/>
        <v>40516</v>
      </c>
      <c r="O8" s="167" t="s">
        <v>53</v>
      </c>
      <c r="P8" s="168">
        <f t="shared" si="5"/>
        <v>54020</v>
      </c>
      <c r="Q8" s="169">
        <f t="shared" si="6"/>
        <v>54021</v>
      </c>
      <c r="R8" s="167" t="s">
        <v>53</v>
      </c>
      <c r="S8" s="168">
        <f t="shared" si="7"/>
        <v>81030</v>
      </c>
      <c r="T8" s="169">
        <f t="shared" si="8"/>
        <v>81031</v>
      </c>
      <c r="U8" s="167" t="s">
        <v>53</v>
      </c>
      <c r="V8" s="168">
        <f t="shared" si="9"/>
        <v>108040</v>
      </c>
      <c r="W8" s="170">
        <f t="shared" si="10"/>
        <v>108041</v>
      </c>
    </row>
    <row r="9" spans="2:23" x14ac:dyDescent="0.25">
      <c r="D9">
        <v>6</v>
      </c>
      <c r="E9" s="166">
        <v>0</v>
      </c>
      <c r="F9" s="167" t="s">
        <v>53</v>
      </c>
      <c r="G9" s="168">
        <f t="shared" si="11"/>
        <v>30970</v>
      </c>
      <c r="H9" s="169">
        <f t="shared" si="0"/>
        <v>30971</v>
      </c>
      <c r="I9" s="167" t="s">
        <v>53</v>
      </c>
      <c r="J9" s="168">
        <f t="shared" si="1"/>
        <v>41190</v>
      </c>
      <c r="K9" s="169">
        <f t="shared" si="2"/>
        <v>41191</v>
      </c>
      <c r="L9" s="167" t="s">
        <v>53</v>
      </c>
      <c r="M9" s="168">
        <f t="shared" si="3"/>
        <v>46455</v>
      </c>
      <c r="N9" s="169">
        <f t="shared" si="4"/>
        <v>46456</v>
      </c>
      <c r="O9" s="167" t="s">
        <v>53</v>
      </c>
      <c r="P9" s="168">
        <f t="shared" si="5"/>
        <v>61940</v>
      </c>
      <c r="Q9" s="169">
        <f t="shared" si="6"/>
        <v>61941</v>
      </c>
      <c r="R9" s="167" t="s">
        <v>53</v>
      </c>
      <c r="S9" s="168">
        <f t="shared" si="7"/>
        <v>92910</v>
      </c>
      <c r="T9" s="169">
        <f t="shared" si="8"/>
        <v>92911</v>
      </c>
      <c r="U9" s="167" t="s">
        <v>53</v>
      </c>
      <c r="V9" s="168">
        <f t="shared" si="9"/>
        <v>123880</v>
      </c>
      <c r="W9" s="170">
        <f t="shared" si="10"/>
        <v>123881</v>
      </c>
    </row>
    <row r="10" spans="2:23" x14ac:dyDescent="0.25">
      <c r="D10">
        <v>7</v>
      </c>
      <c r="E10" s="166">
        <v>0</v>
      </c>
      <c r="F10" s="167" t="s">
        <v>53</v>
      </c>
      <c r="G10" s="168">
        <f t="shared" si="11"/>
        <v>34930</v>
      </c>
      <c r="H10" s="169">
        <f t="shared" si="0"/>
        <v>34931</v>
      </c>
      <c r="I10" s="167" t="s">
        <v>53</v>
      </c>
      <c r="J10" s="168">
        <f t="shared" si="1"/>
        <v>46457</v>
      </c>
      <c r="K10" s="169">
        <f t="shared" si="2"/>
        <v>46458</v>
      </c>
      <c r="L10" s="167" t="s">
        <v>53</v>
      </c>
      <c r="M10" s="168">
        <f t="shared" si="3"/>
        <v>52395</v>
      </c>
      <c r="N10" s="169">
        <f t="shared" si="4"/>
        <v>52396</v>
      </c>
      <c r="O10" s="167" t="s">
        <v>53</v>
      </c>
      <c r="P10" s="168">
        <f t="shared" si="5"/>
        <v>69860</v>
      </c>
      <c r="Q10" s="169">
        <f t="shared" si="6"/>
        <v>69861</v>
      </c>
      <c r="R10" s="167" t="s">
        <v>53</v>
      </c>
      <c r="S10" s="168">
        <f t="shared" si="7"/>
        <v>104790</v>
      </c>
      <c r="T10" s="169">
        <f t="shared" si="8"/>
        <v>104791</v>
      </c>
      <c r="U10" s="167" t="s">
        <v>53</v>
      </c>
      <c r="V10" s="168">
        <f t="shared" si="9"/>
        <v>139720</v>
      </c>
      <c r="W10" s="170">
        <f t="shared" si="10"/>
        <v>139721</v>
      </c>
    </row>
    <row r="11" spans="2:23" x14ac:dyDescent="0.25">
      <c r="D11">
        <v>8</v>
      </c>
      <c r="E11" s="166">
        <v>0</v>
      </c>
      <c r="F11" s="167" t="s">
        <v>53</v>
      </c>
      <c r="G11" s="168">
        <f t="shared" si="11"/>
        <v>38890</v>
      </c>
      <c r="H11" s="169">
        <f t="shared" si="0"/>
        <v>38891</v>
      </c>
      <c r="I11" s="167" t="s">
        <v>53</v>
      </c>
      <c r="J11" s="168">
        <f t="shared" si="1"/>
        <v>51724</v>
      </c>
      <c r="K11" s="169">
        <f t="shared" si="2"/>
        <v>51725</v>
      </c>
      <c r="L11" s="167" t="s">
        <v>53</v>
      </c>
      <c r="M11" s="168">
        <f t="shared" si="3"/>
        <v>58335</v>
      </c>
      <c r="N11" s="169">
        <f t="shared" si="4"/>
        <v>58336</v>
      </c>
      <c r="O11" s="167" t="s">
        <v>53</v>
      </c>
      <c r="P11" s="168">
        <f t="shared" si="5"/>
        <v>77780</v>
      </c>
      <c r="Q11" s="169">
        <f t="shared" si="6"/>
        <v>77781</v>
      </c>
      <c r="R11" s="167" t="s">
        <v>53</v>
      </c>
      <c r="S11" s="168">
        <f t="shared" si="7"/>
        <v>116670</v>
      </c>
      <c r="T11" s="169">
        <f t="shared" si="8"/>
        <v>116671</v>
      </c>
      <c r="U11" s="167" t="s">
        <v>53</v>
      </c>
      <c r="V11" s="168">
        <f t="shared" si="9"/>
        <v>155560</v>
      </c>
      <c r="W11" s="170">
        <f t="shared" si="10"/>
        <v>155561</v>
      </c>
    </row>
    <row r="12" spans="2:23" x14ac:dyDescent="0.25">
      <c r="G12" s="1">
        <f>G5-G4</f>
        <v>3960</v>
      </c>
      <c r="H12" s="1"/>
      <c r="I12" s="1"/>
      <c r="J12" s="1">
        <f>J5-J4</f>
        <v>5267</v>
      </c>
      <c r="K12" s="1"/>
      <c r="L12" s="1"/>
      <c r="M12" s="1">
        <f>M5-M4</f>
        <v>5940</v>
      </c>
      <c r="N12" s="1"/>
      <c r="O12" s="1"/>
      <c r="P12" s="1">
        <f>P5-P4</f>
        <v>7920</v>
      </c>
      <c r="Q12" s="1"/>
      <c r="R12" s="1"/>
      <c r="S12" s="1">
        <f>S5-S4</f>
        <v>11880</v>
      </c>
      <c r="T12" s="1"/>
      <c r="U12" s="1"/>
      <c r="V12" s="1">
        <f>V5-V4</f>
        <v>15840</v>
      </c>
      <c r="W12" s="1">
        <f>W5-W4</f>
        <v>15840</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919" id="{984CA2FB-06D9-4B55-A0A5-E388C36F991E}">
            <xm:f>AND(Eligibility!B57="Cat 1",Eligibility!R9=1)</xm:f>
            <x14:dxf>
              <font>
                <color theme="1"/>
              </font>
              <fill>
                <patternFill>
                  <bgColor rgb="FFFF0000"/>
                </patternFill>
              </fill>
              <border>
                <left style="thin">
                  <color auto="1"/>
                </left>
                <right/>
                <top style="thin">
                  <color auto="1"/>
                </top>
                <bottom style="thin">
                  <color auto="1"/>
                </bottom>
                <vertical/>
                <horizontal/>
              </border>
            </x14:dxf>
          </x14:cfRule>
          <xm:sqref>E4:G4</xm:sqref>
        </x14:conditionalFormatting>
        <x14:conditionalFormatting xmlns:xm="http://schemas.microsoft.com/office/excel/2006/main">
          <x14:cfRule type="expression" priority="920" stopIfTrue="1" id="{6A5629DC-A47C-49D7-B4B2-FAA66BFCF573}">
            <xm:f>AND(Eligibility!B57="Cat 1",Eligibility!R9=1)</xm:f>
            <x14:dxf>
              <font>
                <color theme="1"/>
              </font>
              <fill>
                <patternFill>
                  <bgColor rgb="FFFF0000"/>
                </patternFill>
              </fill>
              <border>
                <left/>
                <right/>
                <top style="thin">
                  <color auto="1"/>
                </top>
                <bottom style="thin">
                  <color auto="1"/>
                </bottom>
                <vertical/>
                <horizontal/>
              </border>
            </x14:dxf>
          </x14:cfRule>
          <xm:sqref>F4</xm:sqref>
        </x14:conditionalFormatting>
        <x14:conditionalFormatting xmlns:xm="http://schemas.microsoft.com/office/excel/2006/main">
          <x14:cfRule type="expression" priority="921" stopIfTrue="1" id="{8F4BC941-6EC7-4DAD-A2CC-8DA924EE9D24}">
            <xm:f>AND(Eligibility!B57="Cat 1",Eligibility!R9=1)</xm:f>
            <x14:dxf>
              <font>
                <color theme="1"/>
              </font>
              <fill>
                <patternFill>
                  <bgColor rgb="FFFF0000"/>
                </patternFill>
              </fill>
              <border>
                <left/>
                <right style="thin">
                  <color auto="1"/>
                </right>
                <top style="thin">
                  <color auto="1"/>
                </top>
                <bottom style="thin">
                  <color auto="1"/>
                </bottom>
                <vertical/>
                <horizontal/>
              </border>
            </x14:dxf>
          </x14:cfRule>
          <xm:sqref>G4</xm:sqref>
        </x14:conditionalFormatting>
        <x14:conditionalFormatting xmlns:xm="http://schemas.microsoft.com/office/excel/2006/main">
          <x14:cfRule type="expression" priority="922" stopIfTrue="1" id="{E6E4ECBC-D28B-454D-B168-99D7EFFA43F1}">
            <xm:f>AND(Eligibility!B57="Cat 1",Eligibility!R9=2)</xm:f>
            <x14:dxf>
              <font>
                <color theme="1"/>
              </font>
              <fill>
                <patternFill>
                  <bgColor rgb="FFFF0000"/>
                </patternFill>
              </fill>
              <border>
                <left style="thin">
                  <color auto="1"/>
                </left>
                <right/>
                <top style="thin">
                  <color auto="1"/>
                </top>
                <bottom style="thin">
                  <color auto="1"/>
                </bottom>
                <vertical/>
                <horizontal/>
              </border>
            </x14:dxf>
          </x14:cfRule>
          <xm:sqref>E5:G5</xm:sqref>
        </x14:conditionalFormatting>
        <x14:conditionalFormatting xmlns:xm="http://schemas.microsoft.com/office/excel/2006/main">
          <x14:cfRule type="expression" priority="923" stopIfTrue="1" id="{71C4F072-0596-43EA-85F6-0F83E644666A}">
            <xm:f>AND(Eligibility!B57="Cat 1",Eligibility!R9=2)</xm:f>
            <x14:dxf>
              <font>
                <color theme="1"/>
              </font>
              <fill>
                <patternFill>
                  <bgColor rgb="FFFF0000"/>
                </patternFill>
              </fill>
              <border>
                <top style="thin">
                  <color auto="1"/>
                </top>
                <bottom style="thin">
                  <color auto="1"/>
                </bottom>
                <vertical/>
                <horizontal/>
              </border>
            </x14:dxf>
          </x14:cfRule>
          <xm:sqref>F5</xm:sqref>
        </x14:conditionalFormatting>
        <x14:conditionalFormatting xmlns:xm="http://schemas.microsoft.com/office/excel/2006/main">
          <x14:cfRule type="expression" priority="924" stopIfTrue="1" id="{D528C9A3-8996-409A-916B-726EE716259A}">
            <xm:f>AND(Eligibility!B57="Cat 1",Eligibility!R9=2)</xm:f>
            <x14:dxf>
              <font>
                <color theme="1"/>
              </font>
              <fill>
                <patternFill>
                  <bgColor rgb="FFFF0000"/>
                </patternFill>
              </fill>
              <border>
                <right style="thin">
                  <color auto="1"/>
                </right>
                <top style="thin">
                  <color auto="1"/>
                </top>
                <bottom style="thin">
                  <color auto="1"/>
                </bottom>
                <vertical/>
                <horizontal/>
              </border>
            </x14:dxf>
          </x14:cfRule>
          <xm:sqref>G5</xm:sqref>
        </x14:conditionalFormatting>
        <x14:conditionalFormatting xmlns:xm="http://schemas.microsoft.com/office/excel/2006/main">
          <x14:cfRule type="expression" priority="925" stopIfTrue="1" id="{2881192E-7117-426E-863F-16E4A906ACD0}">
            <xm:f>AND(Eligibility!B57="Cat 1",Eligibility!R9=3)</xm:f>
            <x14:dxf>
              <fill>
                <patternFill>
                  <bgColor rgb="FFFF0000"/>
                </patternFill>
              </fill>
              <border>
                <left style="thin">
                  <color auto="1"/>
                </left>
                <top style="thin">
                  <color auto="1"/>
                </top>
                <bottom style="thin">
                  <color auto="1"/>
                </bottom>
                <vertical/>
                <horizontal/>
              </border>
            </x14:dxf>
          </x14:cfRule>
          <xm:sqref>E6:G6</xm:sqref>
        </x14:conditionalFormatting>
        <x14:conditionalFormatting xmlns:xm="http://schemas.microsoft.com/office/excel/2006/main">
          <x14:cfRule type="expression" priority="926" stopIfTrue="1" id="{823D354A-75EE-416F-A416-D2B3DCDF64B3}">
            <xm:f>AND(Eligibility!B57="Cat 1",Eligibility!R9=3)</xm:f>
            <x14:dxf>
              <fill>
                <patternFill>
                  <bgColor rgb="FFFF0000"/>
                </patternFill>
              </fill>
              <border>
                <top style="thin">
                  <color auto="1"/>
                </top>
                <bottom style="thin">
                  <color auto="1"/>
                </bottom>
                <vertical/>
                <horizontal/>
              </border>
            </x14:dxf>
          </x14:cfRule>
          <xm:sqref>F6</xm:sqref>
        </x14:conditionalFormatting>
        <x14:conditionalFormatting xmlns:xm="http://schemas.microsoft.com/office/excel/2006/main">
          <x14:cfRule type="expression" priority="927" stopIfTrue="1" id="{E6141F14-C958-4490-AE81-7EBA89E0B559}">
            <xm:f>AND(Eligibility!B57="Cat 1",Eligibility!R9=3)</xm:f>
            <x14:dxf>
              <fill>
                <patternFill>
                  <bgColor rgb="FFFF0000"/>
                </patternFill>
              </fill>
              <border>
                <left/>
                <right style="thin">
                  <color auto="1"/>
                </right>
                <top style="thin">
                  <color auto="1"/>
                </top>
                <bottom style="thin">
                  <color auto="1"/>
                </bottom>
                <vertical/>
                <horizontal/>
              </border>
            </x14:dxf>
          </x14:cfRule>
          <xm:sqref>G6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M49"/>
  <sheetViews>
    <sheetView topLeftCell="A7" zoomScaleNormal="100" workbookViewId="0">
      <selection activeCell="D15" sqref="D15"/>
    </sheetView>
  </sheetViews>
  <sheetFormatPr defaultRowHeight="12.5" x14ac:dyDescent="0.25"/>
  <cols>
    <col min="1" max="1" width="6.36328125" style="234" customWidth="1"/>
    <col min="2" max="2" width="12.08984375" customWidth="1"/>
    <col min="3" max="3" width="9.08984375" customWidth="1"/>
    <col min="4" max="4" width="12.36328125" customWidth="1"/>
    <col min="5" max="10" width="10.90625" customWidth="1"/>
    <col min="11" max="11" width="12.54296875" customWidth="1"/>
    <col min="12" max="12" width="12.453125" customWidth="1"/>
    <col min="13" max="13" width="9.08984375" hidden="1" customWidth="1"/>
  </cols>
  <sheetData>
    <row r="1" spans="1:13" ht="44.25" customHeight="1" thickBot="1" x14ac:dyDescent="0.3">
      <c r="A1" s="573"/>
      <c r="B1" s="574"/>
      <c r="C1" s="575"/>
      <c r="D1" s="1"/>
      <c r="E1" s="570"/>
      <c r="F1" s="570"/>
      <c r="G1" s="1"/>
      <c r="H1" s="261"/>
      <c r="J1" s="504">
        <f ca="1">TODAY()</f>
        <v>46038</v>
      </c>
      <c r="K1" s="577"/>
    </row>
    <row r="2" spans="1:13" ht="13" thickTop="1" x14ac:dyDescent="0.25">
      <c r="A2" s="488" t="s">
        <v>16</v>
      </c>
      <c r="B2" s="503"/>
      <c r="C2" s="576"/>
      <c r="D2" s="1"/>
      <c r="E2" s="571" t="s">
        <v>17</v>
      </c>
      <c r="F2" s="572"/>
      <c r="G2" s="1"/>
      <c r="H2" s="242" t="s">
        <v>224</v>
      </c>
      <c r="J2" s="578" t="s">
        <v>18</v>
      </c>
      <c r="K2" s="579"/>
    </row>
    <row r="3" spans="1:13" ht="15.5" x14ac:dyDescent="0.35">
      <c r="A3" s="241" t="str">
        <f>IF(OR(A1="",H1=""),"Please Enter Client Name and Agency Initials","")</f>
        <v>Please Enter Client Name and Agency Initials</v>
      </c>
      <c r="B3" s="235"/>
      <c r="C3" s="235"/>
      <c r="D3" s="1"/>
      <c r="E3" s="139"/>
      <c r="F3" s="235"/>
      <c r="G3" s="1"/>
      <c r="H3" s="1"/>
      <c r="J3" s="236"/>
    </row>
    <row r="4" spans="1:13" ht="15.5" x14ac:dyDescent="0.25">
      <c r="A4" s="254" t="str">
        <f>IF(OR(D6="",I6=""),"Please enter Total Charged to Date and Remaining Cap",IF(SUM(E36:K36)&lt;SUM(E13:K34),"All Charges Exceed Client Cap, Total Charges Have Been Adjusted",IF(C10="Cat 1","Client has no Annual Cap, NO CHARGES NECESSARY","")))</f>
        <v>Please enter Total Charged to Date and Remaining Cap</v>
      </c>
      <c r="F4" s="1"/>
    </row>
    <row r="5" spans="1:13" ht="15.5" x14ac:dyDescent="0.35">
      <c r="A5" s="592" t="str">
        <f>IF(C10="","Please choose Sliding Scale Category","")</f>
        <v>Please choose Sliding Scale Category</v>
      </c>
      <c r="B5" s="593"/>
      <c r="C5" s="594"/>
      <c r="D5" s="594"/>
      <c r="E5" s="594"/>
      <c r="F5" s="1"/>
      <c r="G5" s="1"/>
      <c r="I5" s="239"/>
    </row>
    <row r="6" spans="1:13" ht="15.5" x14ac:dyDescent="0.35">
      <c r="A6" s="589" t="s">
        <v>198</v>
      </c>
      <c r="B6" s="590"/>
      <c r="C6" s="591"/>
      <c r="D6" s="583"/>
      <c r="E6" s="584"/>
      <c r="F6" s="91"/>
      <c r="G6" s="585" t="s">
        <v>113</v>
      </c>
      <c r="H6" s="586"/>
      <c r="I6" s="587"/>
      <c r="J6" s="588"/>
    </row>
    <row r="7" spans="1:13" ht="31.5" customHeight="1" thickBot="1" x14ac:dyDescent="0.3">
      <c r="A7" s="160"/>
      <c r="B7" s="580" t="s">
        <v>256</v>
      </c>
      <c r="C7" s="580"/>
      <c r="D7" s="581"/>
      <c r="E7" s="581"/>
      <c r="F7" s="581"/>
      <c r="G7" s="581"/>
      <c r="H7" s="581"/>
      <c r="I7" s="581"/>
      <c r="J7" s="581"/>
      <c r="K7" s="582"/>
    </row>
    <row r="8" spans="1:13" ht="13" thickTop="1" x14ac:dyDescent="0.25">
      <c r="A8" s="206"/>
      <c r="B8" s="78"/>
      <c r="C8" s="78"/>
      <c r="D8" s="564" t="s">
        <v>57</v>
      </c>
      <c r="E8" s="556">
        <f>Eligibility!B61</f>
        <v>0</v>
      </c>
      <c r="F8" s="556">
        <f>Eligibility!F62</f>
        <v>0.01</v>
      </c>
      <c r="G8" s="556">
        <f>Eligibility!I62</f>
        <v>0.02</v>
      </c>
      <c r="H8" s="556">
        <f>Eligibility!M62</f>
        <v>0.03</v>
      </c>
      <c r="I8" s="556">
        <f>Eligibility!P62</f>
        <v>0.05</v>
      </c>
      <c r="J8" s="117">
        <f>Eligibility!S62</f>
        <v>0.1</v>
      </c>
      <c r="K8" s="198">
        <v>1</v>
      </c>
      <c r="M8" s="85" t="s">
        <v>221</v>
      </c>
    </row>
    <row r="9" spans="1:13" ht="25" x14ac:dyDescent="0.25">
      <c r="A9" s="207"/>
      <c r="B9" s="80"/>
      <c r="C9" s="244"/>
      <c r="D9" s="565"/>
      <c r="E9" s="557"/>
      <c r="F9" s="557"/>
      <c r="G9" s="557"/>
      <c r="H9" s="557"/>
      <c r="I9" s="557"/>
      <c r="J9" s="118" t="s">
        <v>134</v>
      </c>
      <c r="K9" s="199" t="s">
        <v>135</v>
      </c>
      <c r="M9" s="85" t="s">
        <v>220</v>
      </c>
    </row>
    <row r="10" spans="1:13" ht="25" x14ac:dyDescent="0.25">
      <c r="A10" s="207"/>
      <c r="B10" s="80" t="s">
        <v>10</v>
      </c>
      <c r="C10" s="262"/>
      <c r="D10" s="80" t="s">
        <v>10</v>
      </c>
      <c r="E10" s="237">
        <v>1</v>
      </c>
      <c r="F10" s="237">
        <v>2</v>
      </c>
      <c r="G10" s="237">
        <v>3</v>
      </c>
      <c r="H10" s="237">
        <v>4</v>
      </c>
      <c r="I10" s="237">
        <v>5</v>
      </c>
      <c r="J10" s="237">
        <v>6</v>
      </c>
      <c r="K10" s="201" t="s">
        <v>132</v>
      </c>
      <c r="M10" s="85" t="s">
        <v>219</v>
      </c>
    </row>
    <row r="11" spans="1:13" x14ac:dyDescent="0.25">
      <c r="A11" s="208"/>
      <c r="B11" s="83"/>
      <c r="C11" s="84"/>
      <c r="D11" s="81" t="s">
        <v>8</v>
      </c>
      <c r="E11" s="138" t="s">
        <v>78</v>
      </c>
      <c r="F11" s="138" t="s">
        <v>204</v>
      </c>
      <c r="G11" s="138" t="s">
        <v>205</v>
      </c>
      <c r="H11" s="138" t="s">
        <v>79</v>
      </c>
      <c r="I11" s="138" t="s">
        <v>80</v>
      </c>
      <c r="J11" s="138" t="s">
        <v>81</v>
      </c>
      <c r="K11" s="201" t="s">
        <v>131</v>
      </c>
      <c r="M11" s="85" t="s">
        <v>218</v>
      </c>
    </row>
    <row r="12" spans="1:13" ht="27" customHeight="1" thickBot="1" x14ac:dyDescent="0.3">
      <c r="A12" s="209" t="s">
        <v>82</v>
      </c>
      <c r="B12" s="550" t="s">
        <v>58</v>
      </c>
      <c r="C12" s="551"/>
      <c r="D12" s="119" t="s">
        <v>119</v>
      </c>
      <c r="E12" s="82"/>
      <c r="F12" s="82"/>
      <c r="G12" s="82"/>
      <c r="H12" s="82"/>
      <c r="I12" s="82"/>
      <c r="J12" s="82"/>
      <c r="K12" s="202"/>
      <c r="M12" s="85" t="s">
        <v>222</v>
      </c>
    </row>
    <row r="13" spans="1:13" ht="15" customHeight="1" thickBot="1" x14ac:dyDescent="0.3">
      <c r="A13" s="210"/>
      <c r="B13" s="552" t="s">
        <v>59</v>
      </c>
      <c r="C13" s="553"/>
      <c r="D13" s="304">
        <v>150</v>
      </c>
      <c r="E13" s="134" t="str">
        <f>IF($A13="","",IF($C$10="Cat 1",ROUND($D13*E$8,0),""))</f>
        <v/>
      </c>
      <c r="F13" s="134" t="str">
        <f>IF($A13="","",IF($C$10="Cat 2",ROUND($D13*F$8,0),""))</f>
        <v/>
      </c>
      <c r="G13" s="134" t="str">
        <f>IF($A13="","",IF($C$10="Cat 3",ROUND($D13*G$8,0),""))</f>
        <v/>
      </c>
      <c r="H13" s="134" t="str">
        <f>IF($A13="","",IF($C$10="Cat 4",ROUND($D13*H$8,0),""))</f>
        <v/>
      </c>
      <c r="I13" s="134" t="str">
        <f>IF($A13="","",IF($C$10="Cat 5",ROUND($D13*I$8,0),""))</f>
        <v/>
      </c>
      <c r="J13" s="134" t="str">
        <f>IF($A13="","",IF($C$10="Cat 6","Not Eligible*",""))</f>
        <v/>
      </c>
      <c r="K13" s="203" t="str">
        <f t="shared" ref="K13:K34" si="0">IF($A13="","",IF(LEFT(C$9,1)="C","",IF($C$10="N/A","Not Eligible*","")))</f>
        <v/>
      </c>
      <c r="M13" s="85" t="s">
        <v>223</v>
      </c>
    </row>
    <row r="14" spans="1:13" ht="15" customHeight="1" thickBot="1" x14ac:dyDescent="0.3">
      <c r="A14" s="210"/>
      <c r="B14" s="568" t="s">
        <v>60</v>
      </c>
      <c r="C14" s="222" t="s">
        <v>61</v>
      </c>
      <c r="D14" s="304">
        <v>66</v>
      </c>
      <c r="E14" s="134" t="s">
        <v>301</v>
      </c>
      <c r="F14" s="134" t="s">
        <v>301</v>
      </c>
      <c r="G14" s="134" t="s">
        <v>301</v>
      </c>
      <c r="H14" s="134" t="s">
        <v>301</v>
      </c>
      <c r="I14" s="134" t="s">
        <v>301</v>
      </c>
      <c r="J14" s="134" t="s">
        <v>301</v>
      </c>
      <c r="K14" s="203" t="s">
        <v>301</v>
      </c>
      <c r="M14" s="85"/>
    </row>
    <row r="15" spans="1:13" ht="15.75" customHeight="1" thickBot="1" x14ac:dyDescent="0.3">
      <c r="A15" s="210"/>
      <c r="B15" s="569"/>
      <c r="C15" s="221" t="s">
        <v>62</v>
      </c>
      <c r="D15" s="304">
        <v>34</v>
      </c>
      <c r="E15" s="134" t="s">
        <v>301</v>
      </c>
      <c r="F15" s="134" t="s">
        <v>301</v>
      </c>
      <c r="G15" s="134" t="s">
        <v>301</v>
      </c>
      <c r="H15" s="134" t="s">
        <v>301</v>
      </c>
      <c r="I15" s="134" t="s">
        <v>301</v>
      </c>
      <c r="J15" s="134" t="s">
        <v>301</v>
      </c>
      <c r="K15" s="203" t="s">
        <v>301</v>
      </c>
      <c r="M15" s="85" t="s">
        <v>132</v>
      </c>
    </row>
    <row r="16" spans="1:13" ht="20.25" customHeight="1" thickBot="1" x14ac:dyDescent="0.3">
      <c r="A16" s="210"/>
      <c r="B16" s="548" t="s">
        <v>77</v>
      </c>
      <c r="C16" s="222" t="s">
        <v>61</v>
      </c>
      <c r="D16" s="304">
        <v>79</v>
      </c>
      <c r="E16" s="134" t="str">
        <f t="shared" ref="E16:E34" si="1">IF($A16="","",IF($C$10="Cat 1",ROUND($D16*E$8,0),""))</f>
        <v/>
      </c>
      <c r="F16" s="134" t="str">
        <f t="shared" ref="F16:F34" si="2">IF($A16="","",IF($C$10="Cat 2",ROUND($D16*F$8,0),""))</f>
        <v/>
      </c>
      <c r="G16" s="134" t="str">
        <f t="shared" ref="G16:G34" si="3">IF($A16="","",IF($C$10="Cat 3",ROUND($D16*G$8,0),""))</f>
        <v/>
      </c>
      <c r="H16" s="134" t="str">
        <f t="shared" ref="H16:H34" si="4">IF($A16="","",IF($C$10="Cat 4",ROUND($D16*H$8,0),""))</f>
        <v/>
      </c>
      <c r="I16" s="134" t="str">
        <f t="shared" ref="I16:I34" si="5">IF($A16="","",IF($C$10="Cat 5",ROUND($D16*I$8,0),""))</f>
        <v/>
      </c>
      <c r="J16" s="134" t="str">
        <f t="shared" ref="J16:J18" si="6">IF($A16="","",IF($C$10="Cat 6","Not Eligible*",""))</f>
        <v/>
      </c>
      <c r="K16" s="203" t="str">
        <f t="shared" si="0"/>
        <v/>
      </c>
      <c r="M16" s="85"/>
    </row>
    <row r="17" spans="1:13" ht="20.25" customHeight="1" thickBot="1" x14ac:dyDescent="0.3">
      <c r="A17" s="210"/>
      <c r="B17" s="549"/>
      <c r="C17" s="221" t="s">
        <v>62</v>
      </c>
      <c r="D17" s="305">
        <v>26</v>
      </c>
      <c r="E17" s="134" t="str">
        <f t="shared" si="1"/>
        <v/>
      </c>
      <c r="F17" s="134" t="str">
        <f t="shared" si="2"/>
        <v/>
      </c>
      <c r="G17" s="134" t="str">
        <f t="shared" si="3"/>
        <v/>
      </c>
      <c r="H17" s="134" t="str">
        <f t="shared" si="4"/>
        <v/>
      </c>
      <c r="I17" s="134" t="str">
        <f t="shared" si="5"/>
        <v/>
      </c>
      <c r="J17" s="134" t="str">
        <f t="shared" si="6"/>
        <v/>
      </c>
      <c r="K17" s="203" t="str">
        <f t="shared" si="0"/>
        <v/>
      </c>
      <c r="M17" s="85"/>
    </row>
    <row r="18" spans="1:13" ht="13" thickBot="1" x14ac:dyDescent="0.3">
      <c r="A18" s="210"/>
      <c r="B18" s="552" t="s">
        <v>63</v>
      </c>
      <c r="C18" s="553"/>
      <c r="D18" s="304">
        <v>145</v>
      </c>
      <c r="E18" s="134" t="str">
        <f t="shared" si="1"/>
        <v/>
      </c>
      <c r="F18" s="134" t="str">
        <f t="shared" si="2"/>
        <v/>
      </c>
      <c r="G18" s="134" t="str">
        <f t="shared" si="3"/>
        <v/>
      </c>
      <c r="H18" s="134" t="str">
        <f t="shared" si="4"/>
        <v/>
      </c>
      <c r="I18" s="134" t="str">
        <f t="shared" si="5"/>
        <v/>
      </c>
      <c r="J18" s="134" t="str">
        <f t="shared" si="6"/>
        <v/>
      </c>
      <c r="K18" s="203" t="str">
        <f t="shared" si="0"/>
        <v/>
      </c>
    </row>
    <row r="19" spans="1:13" ht="25.5" customHeight="1" thickBot="1" x14ac:dyDescent="0.3">
      <c r="A19" s="210"/>
      <c r="B19" s="543" t="s">
        <v>64</v>
      </c>
      <c r="C19" s="547"/>
      <c r="D19" s="304">
        <v>0</v>
      </c>
      <c r="E19" s="134" t="str">
        <f t="shared" si="1"/>
        <v/>
      </c>
      <c r="F19" s="134" t="str">
        <f t="shared" si="2"/>
        <v/>
      </c>
      <c r="G19" s="134" t="str">
        <f t="shared" si="3"/>
        <v/>
      </c>
      <c r="H19" s="134" t="str">
        <f t="shared" si="4"/>
        <v/>
      </c>
      <c r="I19" s="134" t="str">
        <f t="shared" si="5"/>
        <v/>
      </c>
      <c r="J19" s="134" t="str">
        <f>IF($A19="","",IF($C$10="Cat 6",ROUND($D19*J$8,0),""))</f>
        <v/>
      </c>
      <c r="K19" s="203" t="str">
        <f>IF($A19="","",IF(LEFT(C$9,1)="C","",IF($C$10="N/A",ROUND($D19*K$8,0),"")))</f>
        <v/>
      </c>
    </row>
    <row r="20" spans="1:13" ht="29.25" customHeight="1" thickBot="1" x14ac:dyDescent="0.3">
      <c r="A20" s="210"/>
      <c r="B20" s="543" t="s">
        <v>65</v>
      </c>
      <c r="C20" s="547"/>
      <c r="D20" s="304">
        <v>60</v>
      </c>
      <c r="E20" s="134" t="str">
        <f t="shared" si="1"/>
        <v/>
      </c>
      <c r="F20" s="134" t="str">
        <f t="shared" si="2"/>
        <v/>
      </c>
      <c r="G20" s="134" t="str">
        <f t="shared" si="3"/>
        <v/>
      </c>
      <c r="H20" s="134" t="str">
        <f t="shared" si="4"/>
        <v/>
      </c>
      <c r="I20" s="134" t="str">
        <f t="shared" si="5"/>
        <v/>
      </c>
      <c r="J20" s="134" t="str">
        <f t="shared" ref="J20:J34" si="7">IF($A20="","",IF($C$10="Cat 6","Not Eligible*",""))</f>
        <v/>
      </c>
      <c r="K20" s="203" t="str">
        <f t="shared" si="0"/>
        <v/>
      </c>
    </row>
    <row r="21" spans="1:13" ht="13" thickBot="1" x14ac:dyDescent="0.3">
      <c r="A21" s="210"/>
      <c r="B21" s="543" t="s">
        <v>66</v>
      </c>
      <c r="C21" s="547"/>
      <c r="D21" s="304">
        <v>0</v>
      </c>
      <c r="E21" s="134" t="str">
        <f t="shared" si="1"/>
        <v/>
      </c>
      <c r="F21" s="134" t="str">
        <f t="shared" si="2"/>
        <v/>
      </c>
      <c r="G21" s="134" t="str">
        <f t="shared" si="3"/>
        <v/>
      </c>
      <c r="H21" s="134" t="str">
        <f t="shared" si="4"/>
        <v/>
      </c>
      <c r="I21" s="134" t="str">
        <f t="shared" si="5"/>
        <v/>
      </c>
      <c r="J21" s="134" t="str">
        <f t="shared" si="7"/>
        <v/>
      </c>
      <c r="K21" s="203" t="str">
        <f t="shared" si="0"/>
        <v/>
      </c>
    </row>
    <row r="22" spans="1:13" ht="13" thickBot="1" x14ac:dyDescent="0.3">
      <c r="A22" s="210"/>
      <c r="B22" s="543" t="s">
        <v>67</v>
      </c>
      <c r="C22" s="547"/>
      <c r="D22" s="306">
        <v>0</v>
      </c>
      <c r="E22" s="134" t="str">
        <f t="shared" si="1"/>
        <v/>
      </c>
      <c r="F22" s="134" t="str">
        <f t="shared" si="2"/>
        <v/>
      </c>
      <c r="G22" s="134" t="str">
        <f t="shared" si="3"/>
        <v/>
      </c>
      <c r="H22" s="134" t="str">
        <f t="shared" si="4"/>
        <v/>
      </c>
      <c r="I22" s="134" t="str">
        <f t="shared" si="5"/>
        <v/>
      </c>
      <c r="J22" s="134" t="str">
        <f t="shared" si="7"/>
        <v/>
      </c>
      <c r="K22" s="203" t="str">
        <f t="shared" si="0"/>
        <v/>
      </c>
    </row>
    <row r="23" spans="1:13" ht="29.25" customHeight="1" thickBot="1" x14ac:dyDescent="0.3">
      <c r="A23" s="210"/>
      <c r="B23" s="543" t="s">
        <v>68</v>
      </c>
      <c r="C23" s="544"/>
      <c r="D23" s="304">
        <v>0</v>
      </c>
      <c r="E23" s="134" t="str">
        <f t="shared" si="1"/>
        <v/>
      </c>
      <c r="F23" s="134" t="str">
        <f t="shared" si="2"/>
        <v/>
      </c>
      <c r="G23" s="134" t="str">
        <f t="shared" si="3"/>
        <v/>
      </c>
      <c r="H23" s="134" t="str">
        <f t="shared" si="4"/>
        <v/>
      </c>
      <c r="I23" s="134" t="str">
        <f t="shared" si="5"/>
        <v/>
      </c>
      <c r="J23" s="134" t="str">
        <f t="shared" si="7"/>
        <v/>
      </c>
      <c r="K23" s="203" t="str">
        <f t="shared" si="0"/>
        <v/>
      </c>
    </row>
    <row r="24" spans="1:13" ht="28.5" customHeight="1" thickBot="1" x14ac:dyDescent="0.3">
      <c r="A24" s="210"/>
      <c r="B24" s="543" t="s">
        <v>69</v>
      </c>
      <c r="C24" s="544"/>
      <c r="D24" s="304">
        <v>0</v>
      </c>
      <c r="E24" s="134" t="str">
        <f t="shared" si="1"/>
        <v/>
      </c>
      <c r="F24" s="134" t="str">
        <f t="shared" si="2"/>
        <v/>
      </c>
      <c r="G24" s="134" t="str">
        <f t="shared" si="3"/>
        <v/>
      </c>
      <c r="H24" s="134" t="str">
        <f t="shared" si="4"/>
        <v/>
      </c>
      <c r="I24" s="134" t="str">
        <f t="shared" si="5"/>
        <v/>
      </c>
      <c r="J24" s="134" t="str">
        <f t="shared" si="7"/>
        <v/>
      </c>
      <c r="K24" s="203" t="str">
        <f t="shared" si="0"/>
        <v/>
      </c>
    </row>
    <row r="25" spans="1:13" ht="26.25" customHeight="1" thickBot="1" x14ac:dyDescent="0.3">
      <c r="A25" s="210"/>
      <c r="B25" s="543" t="s">
        <v>70</v>
      </c>
      <c r="C25" s="544"/>
      <c r="D25" s="306">
        <v>0</v>
      </c>
      <c r="E25" s="134" t="str">
        <f t="shared" si="1"/>
        <v/>
      </c>
      <c r="F25" s="134" t="str">
        <f t="shared" si="2"/>
        <v/>
      </c>
      <c r="G25" s="134" t="str">
        <f t="shared" si="3"/>
        <v/>
      </c>
      <c r="H25" s="134" t="str">
        <f t="shared" si="4"/>
        <v/>
      </c>
      <c r="I25" s="134" t="str">
        <f t="shared" si="5"/>
        <v/>
      </c>
      <c r="J25" s="134" t="str">
        <f t="shared" si="7"/>
        <v/>
      </c>
      <c r="K25" s="203" t="str">
        <f t="shared" si="0"/>
        <v/>
      </c>
    </row>
    <row r="26" spans="1:13" ht="27" customHeight="1" thickBot="1" x14ac:dyDescent="0.3">
      <c r="A26" s="210"/>
      <c r="B26" s="543" t="s">
        <v>71</v>
      </c>
      <c r="C26" s="544"/>
      <c r="D26" s="304">
        <v>0</v>
      </c>
      <c r="E26" s="134" t="str">
        <f t="shared" si="1"/>
        <v/>
      </c>
      <c r="F26" s="134" t="str">
        <f t="shared" si="2"/>
        <v/>
      </c>
      <c r="G26" s="134" t="str">
        <f t="shared" si="3"/>
        <v/>
      </c>
      <c r="H26" s="134" t="str">
        <f t="shared" si="4"/>
        <v/>
      </c>
      <c r="I26" s="134" t="str">
        <f t="shared" si="5"/>
        <v/>
      </c>
      <c r="J26" s="134" t="str">
        <f t="shared" si="7"/>
        <v/>
      </c>
      <c r="K26" s="203" t="str">
        <f t="shared" si="0"/>
        <v/>
      </c>
    </row>
    <row r="27" spans="1:13" ht="13" thickBot="1" x14ac:dyDescent="0.3">
      <c r="A27" s="210"/>
      <c r="B27" s="558" t="s">
        <v>72</v>
      </c>
      <c r="C27" s="559"/>
      <c r="D27" s="304">
        <v>0</v>
      </c>
      <c r="E27" s="134" t="str">
        <f t="shared" si="1"/>
        <v/>
      </c>
      <c r="F27" s="134" t="str">
        <f t="shared" si="2"/>
        <v/>
      </c>
      <c r="G27" s="134" t="str">
        <f t="shared" si="3"/>
        <v/>
      </c>
      <c r="H27" s="134" t="str">
        <f t="shared" si="4"/>
        <v/>
      </c>
      <c r="I27" s="134" t="str">
        <f t="shared" si="5"/>
        <v/>
      </c>
      <c r="J27" s="134" t="str">
        <f t="shared" si="7"/>
        <v/>
      </c>
      <c r="K27" s="203" t="str">
        <f t="shared" si="0"/>
        <v/>
      </c>
    </row>
    <row r="28" spans="1:13" ht="13" thickBot="1" x14ac:dyDescent="0.3">
      <c r="A28" s="210"/>
      <c r="B28" s="543" t="s">
        <v>73</v>
      </c>
      <c r="C28" s="544"/>
      <c r="D28" s="306">
        <v>0</v>
      </c>
      <c r="E28" s="134" t="str">
        <f t="shared" si="1"/>
        <v/>
      </c>
      <c r="F28" s="134" t="str">
        <f t="shared" si="2"/>
        <v/>
      </c>
      <c r="G28" s="134" t="str">
        <f t="shared" si="3"/>
        <v/>
      </c>
      <c r="H28" s="134" t="str">
        <f t="shared" si="4"/>
        <v/>
      </c>
      <c r="I28" s="134" t="str">
        <f t="shared" si="5"/>
        <v/>
      </c>
      <c r="J28" s="134" t="str">
        <f t="shared" si="7"/>
        <v/>
      </c>
      <c r="K28" s="203" t="str">
        <f t="shared" si="0"/>
        <v/>
      </c>
    </row>
    <row r="29" spans="1:13" ht="13" thickBot="1" x14ac:dyDescent="0.3">
      <c r="A29" s="210"/>
      <c r="B29" s="543" t="s">
        <v>74</v>
      </c>
      <c r="C29" s="544"/>
      <c r="D29" s="304">
        <v>0</v>
      </c>
      <c r="E29" s="134" t="str">
        <f t="shared" si="1"/>
        <v/>
      </c>
      <c r="F29" s="134" t="str">
        <f t="shared" si="2"/>
        <v/>
      </c>
      <c r="G29" s="134" t="str">
        <f t="shared" si="3"/>
        <v/>
      </c>
      <c r="H29" s="134" t="str">
        <f t="shared" si="4"/>
        <v/>
      </c>
      <c r="I29" s="134" t="str">
        <f t="shared" si="5"/>
        <v/>
      </c>
      <c r="J29" s="134" t="str">
        <f t="shared" si="7"/>
        <v/>
      </c>
      <c r="K29" s="203" t="str">
        <f t="shared" si="0"/>
        <v/>
      </c>
    </row>
    <row r="30" spans="1:13" ht="13" thickBot="1" x14ac:dyDescent="0.3">
      <c r="A30" s="210"/>
      <c r="B30" s="543" t="s">
        <v>75</v>
      </c>
      <c r="C30" s="544"/>
      <c r="D30" s="306">
        <v>0</v>
      </c>
      <c r="E30" s="134" t="str">
        <f t="shared" si="1"/>
        <v/>
      </c>
      <c r="F30" s="134" t="str">
        <f t="shared" si="2"/>
        <v/>
      </c>
      <c r="G30" s="134" t="str">
        <f t="shared" si="3"/>
        <v/>
      </c>
      <c r="H30" s="134" t="str">
        <f t="shared" si="4"/>
        <v/>
      </c>
      <c r="I30" s="134" t="str">
        <f t="shared" si="5"/>
        <v/>
      </c>
      <c r="J30" s="134" t="str">
        <f t="shared" si="7"/>
        <v/>
      </c>
      <c r="K30" s="203" t="str">
        <f t="shared" si="0"/>
        <v/>
      </c>
    </row>
    <row r="31" spans="1:13" ht="13" thickBot="1" x14ac:dyDescent="0.3">
      <c r="A31" s="210"/>
      <c r="B31" s="543" t="s">
        <v>112</v>
      </c>
      <c r="C31" s="544"/>
      <c r="D31" s="306">
        <v>0</v>
      </c>
      <c r="E31" s="134" t="str">
        <f t="shared" si="1"/>
        <v/>
      </c>
      <c r="F31" s="134" t="str">
        <f t="shared" si="2"/>
        <v/>
      </c>
      <c r="G31" s="134" t="str">
        <f t="shared" si="3"/>
        <v/>
      </c>
      <c r="H31" s="134" t="str">
        <f t="shared" si="4"/>
        <v/>
      </c>
      <c r="I31" s="134" t="str">
        <f t="shared" si="5"/>
        <v/>
      </c>
      <c r="J31" s="134" t="str">
        <f t="shared" si="7"/>
        <v/>
      </c>
      <c r="K31" s="203" t="str">
        <f t="shared" si="0"/>
        <v/>
      </c>
    </row>
    <row r="32" spans="1:13" ht="13" thickBot="1" x14ac:dyDescent="0.3">
      <c r="A32" s="210"/>
      <c r="B32" s="543" t="s">
        <v>76</v>
      </c>
      <c r="C32" s="544"/>
      <c r="D32" s="306">
        <v>0</v>
      </c>
      <c r="E32" s="134" t="str">
        <f t="shared" si="1"/>
        <v/>
      </c>
      <c r="F32" s="134" t="str">
        <f t="shared" si="2"/>
        <v/>
      </c>
      <c r="G32" s="134" t="str">
        <f t="shared" si="3"/>
        <v/>
      </c>
      <c r="H32" s="134" t="str">
        <f t="shared" si="4"/>
        <v/>
      </c>
      <c r="I32" s="134" t="str">
        <f t="shared" si="5"/>
        <v/>
      </c>
      <c r="J32" s="134" t="str">
        <f t="shared" si="7"/>
        <v/>
      </c>
      <c r="K32" s="203" t="str">
        <f t="shared" si="0"/>
        <v/>
      </c>
    </row>
    <row r="33" spans="1:13" ht="18" customHeight="1" thickBot="1" x14ac:dyDescent="0.3">
      <c r="A33" s="229"/>
      <c r="B33" s="560" t="s">
        <v>83</v>
      </c>
      <c r="C33" s="289" t="s">
        <v>211</v>
      </c>
      <c r="D33" s="307">
        <v>152</v>
      </c>
      <c r="E33" s="134" t="str">
        <f t="shared" si="1"/>
        <v/>
      </c>
      <c r="F33" s="134" t="str">
        <f t="shared" si="2"/>
        <v/>
      </c>
      <c r="G33" s="134" t="str">
        <f t="shared" si="3"/>
        <v/>
      </c>
      <c r="H33" s="134" t="str">
        <f t="shared" si="4"/>
        <v/>
      </c>
      <c r="I33" s="134" t="str">
        <f t="shared" si="5"/>
        <v/>
      </c>
      <c r="J33" s="134" t="str">
        <f t="shared" si="7"/>
        <v/>
      </c>
      <c r="K33" s="203" t="str">
        <f t="shared" si="0"/>
        <v/>
      </c>
    </row>
    <row r="34" spans="1:13" ht="25.5" customHeight="1" thickBot="1" x14ac:dyDescent="0.3">
      <c r="A34" s="211"/>
      <c r="B34" s="561"/>
      <c r="C34" s="290" t="s">
        <v>212</v>
      </c>
      <c r="D34" s="308">
        <v>340</v>
      </c>
      <c r="E34" s="204" t="str">
        <f t="shared" si="1"/>
        <v/>
      </c>
      <c r="F34" s="204" t="str">
        <f t="shared" si="2"/>
        <v/>
      </c>
      <c r="G34" s="204" t="str">
        <f t="shared" si="3"/>
        <v/>
      </c>
      <c r="H34" s="204" t="str">
        <f t="shared" si="4"/>
        <v/>
      </c>
      <c r="I34" s="204" t="str">
        <f t="shared" si="5"/>
        <v/>
      </c>
      <c r="J34" s="204" t="str">
        <f t="shared" si="7"/>
        <v/>
      </c>
      <c r="K34" s="205" t="str">
        <f t="shared" si="0"/>
        <v/>
      </c>
    </row>
    <row r="35" spans="1:13" ht="13" thickTop="1" x14ac:dyDescent="0.25">
      <c r="A35" s="207"/>
      <c r="B35" s="78"/>
      <c r="C35" s="78"/>
      <c r="D35" s="78"/>
      <c r="E35" s="135"/>
      <c r="F35" s="135"/>
      <c r="G35" s="135"/>
      <c r="H35" s="135"/>
      <c r="I35" s="135"/>
      <c r="J35" s="136"/>
      <c r="K35" s="217"/>
    </row>
    <row r="36" spans="1:13" ht="13" thickBot="1" x14ac:dyDescent="0.3">
      <c r="A36" s="213"/>
      <c r="B36" s="545" t="s">
        <v>274</v>
      </c>
      <c r="C36" s="546"/>
      <c r="D36" s="214"/>
      <c r="E36" s="215" t="str">
        <f>IF(AND(SUM($A13:$A34)=0,COUNTA($A13:$A34)=0),"",IF($C$10="Cat 1",IF($D$6+SUM(E13:E34)&gt;$I$6,$I$6,SUM(E13:E34)),""))</f>
        <v/>
      </c>
      <c r="F36" s="215" t="str">
        <f>IF(AND(SUM($A13:$A34)=0,COUNTA($A13:$A34)=0),"",IF($C$10="Cat 2",IF($D$6+SUM(F13:F34)&gt;$I$6,$I$6,SUM(F13:F34)),""))</f>
        <v/>
      </c>
      <c r="G36" s="215" t="str">
        <f>IF(AND(SUM($A13:$A34)=0,COUNTA($A13:$A34)=0),"",IF($C$10="Cat 3",IF($D$6+SUM(G13:G34)&gt;$I$6,$I$6,SUM(G13:G34)),""))</f>
        <v/>
      </c>
      <c r="H36" s="215" t="str">
        <f>IF(AND(SUM($A13:$A34)=0,COUNTA($A13:$A34)=0),"",IF($C$10="Cat 4",IF($D$6+SUM(H13:H34)&gt;$I$6,$I$6,SUM(H13:H34)),""))</f>
        <v/>
      </c>
      <c r="I36" s="215" t="str">
        <f>IF(AND(SUM($A13:$A34)=0,COUNTA($A13:$A34)=0),"",IF($C$10="Cat 5",IF($D$6+SUM(I13:I34)&gt;$I$6,$I$6,SUM(I13:I34)),""))</f>
        <v/>
      </c>
      <c r="J36" s="215" t="str">
        <f>IF(AND(SUM($A13:$A34)=0,COUNTA($A13:$A34)=0),"",IF($C$10="Cat 6",SUM(J13:J34),""))</f>
        <v/>
      </c>
      <c r="K36" s="216" t="str">
        <f>IF(AND(SUM($A13:$A34)=0,COUNTA($A13:$A34)=0),"",IF($C$10="N/A",SUM(K13:K34),""))</f>
        <v/>
      </c>
      <c r="M36" s="75"/>
    </row>
    <row r="37" spans="1:13" ht="13" thickTop="1" x14ac:dyDescent="0.25">
      <c r="B37" s="238"/>
      <c r="C37" s="238"/>
      <c r="D37" s="238"/>
      <c r="E37" s="238"/>
      <c r="F37" s="238"/>
      <c r="G37" s="212"/>
      <c r="H37" s="212"/>
      <c r="I37" s="212"/>
      <c r="J37" s="212"/>
      <c r="K37" s="212"/>
    </row>
    <row r="38" spans="1:13" ht="17.5" x14ac:dyDescent="0.25">
      <c r="A38" s="185" t="str">
        <f>IF(SUM(E36:K36)&lt;SUM(E13:K34),"Total Charges Today are reduced to not exceed Client Cap on Charges","")</f>
        <v/>
      </c>
      <c r="E38" s="240"/>
      <c r="M38" s="184"/>
    </row>
    <row r="39" spans="1:13" ht="18" thickBot="1" x14ac:dyDescent="0.5">
      <c r="A39" s="185"/>
      <c r="B39" s="538"/>
      <c r="C39" s="539"/>
      <c r="D39" s="539"/>
      <c r="E39" s="186"/>
      <c r="F39" s="538"/>
      <c r="G39" s="539"/>
      <c r="H39" s="539"/>
      <c r="I39" s="219"/>
      <c r="J39" s="186" t="s">
        <v>111</v>
      </c>
      <c r="K39" s="271"/>
      <c r="M39" s="184"/>
    </row>
    <row r="40" spans="1:13" ht="17.5" x14ac:dyDescent="0.25">
      <c r="A40" s="185"/>
      <c r="B40" s="45" t="s">
        <v>38</v>
      </c>
      <c r="C40" s="45"/>
      <c r="D40" s="45"/>
      <c r="E40" s="17"/>
      <c r="F40" s="218" t="s">
        <v>181</v>
      </c>
      <c r="G40" s="45"/>
      <c r="H40" s="45"/>
      <c r="I40" s="78"/>
      <c r="J40" s="78"/>
      <c r="M40" s="184"/>
    </row>
    <row r="41" spans="1:13" ht="17.5" x14ac:dyDescent="0.25">
      <c r="A41" s="185"/>
      <c r="B41" s="78"/>
      <c r="C41" s="78"/>
      <c r="D41" s="78"/>
      <c r="E41" s="78"/>
      <c r="F41" s="78"/>
      <c r="G41" s="78"/>
      <c r="H41" s="78"/>
      <c r="I41" s="78"/>
      <c r="J41" s="78"/>
      <c r="M41" s="184"/>
    </row>
    <row r="42" spans="1:13" ht="19.5" customHeight="1" thickBot="1" x14ac:dyDescent="0.4">
      <c r="A42" s="197" t="s">
        <v>177</v>
      </c>
      <c r="B42" s="554" t="str">
        <f>IF(A1="","",A1)</f>
        <v/>
      </c>
      <c r="C42" s="555"/>
      <c r="D42" s="85" t="s">
        <v>178</v>
      </c>
    </row>
    <row r="43" spans="1:13" x14ac:dyDescent="0.25">
      <c r="A43" s="120"/>
      <c r="B43" s="85" t="s">
        <v>179</v>
      </c>
    </row>
    <row r="44" spans="1:13" x14ac:dyDescent="0.25">
      <c r="A44" s="120"/>
      <c r="B44" t="s">
        <v>180</v>
      </c>
    </row>
    <row r="47" spans="1:13" ht="15.5" thickBot="1" x14ac:dyDescent="0.5">
      <c r="B47" s="538"/>
      <c r="C47" s="539"/>
      <c r="D47" s="539"/>
      <c r="E47" s="186"/>
      <c r="F47" s="538"/>
      <c r="G47" s="539"/>
      <c r="H47" s="539"/>
      <c r="I47" s="219"/>
      <c r="J47" s="186"/>
      <c r="K47" s="67"/>
    </row>
    <row r="48" spans="1:13" x14ac:dyDescent="0.25">
      <c r="B48" s="45" t="s">
        <v>38</v>
      </c>
      <c r="C48" s="45"/>
      <c r="D48" s="45"/>
      <c r="E48" s="17"/>
      <c r="F48" s="218" t="s">
        <v>181</v>
      </c>
      <c r="G48" s="45"/>
      <c r="H48" s="45"/>
      <c r="I48" s="78"/>
      <c r="J48" s="78"/>
    </row>
    <row r="49" spans="2:10" x14ac:dyDescent="0.25">
      <c r="B49" s="78"/>
      <c r="C49" s="78"/>
      <c r="D49" s="78"/>
      <c r="E49" s="78"/>
      <c r="F49" s="78"/>
      <c r="G49" s="78"/>
      <c r="H49" s="78"/>
      <c r="I49" s="78"/>
      <c r="J49" s="121" t="str">
        <f>Eligibility!U42</f>
        <v>created 11/12</v>
      </c>
    </row>
  </sheetData>
  <sheetProtection sheet="1" objects="1" scenarios="1"/>
  <mergeCells count="44">
    <mergeCell ref="B47:D47"/>
    <mergeCell ref="F47:H47"/>
    <mergeCell ref="B32:C32"/>
    <mergeCell ref="B33:B34"/>
    <mergeCell ref="B36:C36"/>
    <mergeCell ref="B39:D39"/>
    <mergeCell ref="F39:H39"/>
    <mergeCell ref="B42:C42"/>
    <mergeCell ref="B31:C31"/>
    <mergeCell ref="B20:C20"/>
    <mergeCell ref="B21:C21"/>
    <mergeCell ref="B22:C22"/>
    <mergeCell ref="B23:C23"/>
    <mergeCell ref="B24:C24"/>
    <mergeCell ref="B25:C25"/>
    <mergeCell ref="B26:C26"/>
    <mergeCell ref="B27:C27"/>
    <mergeCell ref="B28:C28"/>
    <mergeCell ref="B29:C29"/>
    <mergeCell ref="B30:C30"/>
    <mergeCell ref="D6:E6"/>
    <mergeCell ref="G6:H6"/>
    <mergeCell ref="I6:J6"/>
    <mergeCell ref="A6:C6"/>
    <mergeCell ref="A5:E5"/>
    <mergeCell ref="B19:C19"/>
    <mergeCell ref="B7:K7"/>
    <mergeCell ref="D8:D9"/>
    <mergeCell ref="E8:E9"/>
    <mergeCell ref="F8:F9"/>
    <mergeCell ref="G8:G9"/>
    <mergeCell ref="H8:H9"/>
    <mergeCell ref="I8:I9"/>
    <mergeCell ref="B12:C12"/>
    <mergeCell ref="B13:C13"/>
    <mergeCell ref="B16:B17"/>
    <mergeCell ref="B18:C18"/>
    <mergeCell ref="B14:B15"/>
    <mergeCell ref="E1:F1"/>
    <mergeCell ref="E2:F2"/>
    <mergeCell ref="A1:C1"/>
    <mergeCell ref="A2:C2"/>
    <mergeCell ref="J1:K1"/>
    <mergeCell ref="J2:K2"/>
  </mergeCells>
  <dataValidations count="1">
    <dataValidation type="list" allowBlank="1" showInputMessage="1" showErrorMessage="1" sqref="C10" xr:uid="{00000000-0002-0000-0800-000000000000}">
      <formula1>$M$8:$M$15</formula1>
    </dataValidation>
  </dataValidations>
  <pageMargins left="0.5" right="0.5" top="0.5" bottom="0.5" header="0.3" footer="0.3"/>
  <pageSetup scale="83" orientation="portrait" r:id="rId1"/>
  <ignoredErrors>
    <ignoredError sqref="J19:K1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9c42ba1-82a7-46df-a0e2-37e4f24d63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3CD0129F6E0943A3B00F458961C50F" ma:contentTypeVersion="15" ma:contentTypeDescription="Create a new document." ma:contentTypeScope="" ma:versionID="2a5890a3c2087e6e554949fb5975c999">
  <xsd:schema xmlns:xsd="http://www.w3.org/2001/XMLSchema" xmlns:xs="http://www.w3.org/2001/XMLSchema" xmlns:p="http://schemas.microsoft.com/office/2006/metadata/properties" xmlns:ns3="79c42ba1-82a7-46df-a0e2-37e4f24d6387" xmlns:ns4="1ffd8f44-97ef-4381-8477-09a61ba12f92" targetNamespace="http://schemas.microsoft.com/office/2006/metadata/properties" ma:root="true" ma:fieldsID="2efc27079953997ae1557c5dfa5aea8e" ns3:_="" ns4:_="">
    <xsd:import namespace="79c42ba1-82a7-46df-a0e2-37e4f24d6387"/>
    <xsd:import namespace="1ffd8f44-97ef-4381-8477-09a61ba12f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bjectDetectorVersions" minOccurs="0"/>
                <xsd:element ref="ns3:MediaServiceDateTaken" minOccurs="0"/>
                <xsd:element ref="ns3:MediaLengthInSecond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c42ba1-82a7-46df-a0e2-37e4f24d6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d8f44-97ef-4381-8477-09a61ba12f9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B8AE1A-56C6-4435-BA94-673874DB81A7}">
  <ds:schemaRefs>
    <ds:schemaRef ds:uri="http://schemas.microsoft.com/sharepoint/v3/contenttype/forms"/>
  </ds:schemaRefs>
</ds:datastoreItem>
</file>

<file path=customXml/itemProps2.xml><?xml version="1.0" encoding="utf-8"?>
<ds:datastoreItem xmlns:ds="http://schemas.openxmlformats.org/officeDocument/2006/customXml" ds:itemID="{D70B09DE-0866-4EBC-8DC7-DB8BEBA68DFF}">
  <ds:schemaRefs>
    <ds:schemaRef ds:uri="http://www.w3.org/XML/1998/namespace"/>
    <ds:schemaRef ds:uri="http://purl.org/dc/elements/1.1/"/>
    <ds:schemaRef ds:uri="1ffd8f44-97ef-4381-8477-09a61ba12f92"/>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79c42ba1-82a7-46df-a0e2-37e4f24d6387"/>
    <ds:schemaRef ds:uri="http://schemas.openxmlformats.org/package/2006/metadata/core-properties"/>
  </ds:schemaRefs>
</ds:datastoreItem>
</file>

<file path=customXml/itemProps3.xml><?xml version="1.0" encoding="utf-8"?>
<ds:datastoreItem xmlns:ds="http://schemas.openxmlformats.org/officeDocument/2006/customXml" ds:itemID="{3F2126B0-BFE8-437E-8B5E-2CBF72AE7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c42ba1-82a7-46df-a0e2-37e4f24d6387"/>
    <ds:schemaRef ds:uri="1ffd8f44-97ef-4381-8477-09a61ba12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Eligibility</vt:lpstr>
      <vt:lpstr>EligReCert</vt:lpstr>
      <vt:lpstr>Med Expenses</vt:lpstr>
      <vt:lpstr>ZIncome</vt:lpstr>
      <vt:lpstr>Cap</vt:lpstr>
      <vt:lpstr>Charges</vt:lpstr>
      <vt:lpstr>Sheet1</vt:lpstr>
      <vt:lpstr>AddCharges</vt:lpstr>
      <vt:lpstr>Cap!Print_Area</vt:lpstr>
      <vt:lpstr>Charges!Print_Area</vt:lpstr>
      <vt:lpstr>'Med Expenses'!Print_Area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Ostapoff, Michael</dc:creator>
  <cp:lastModifiedBy>Lauren Ciborowski</cp:lastModifiedBy>
  <cp:lastPrinted>2019-01-22T14:27:08Z</cp:lastPrinted>
  <dcterms:created xsi:type="dcterms:W3CDTF">2009-03-26T14:19:35Z</dcterms:created>
  <dcterms:modified xsi:type="dcterms:W3CDTF">2026-01-16T17:01:57Z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0x0101006C3CD0129F6E0943A3B00F458961C50F</vt:lpwstr>
  </property>
</Properties>
</file>